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20" windowHeight="7125" tabRatio="948" activeTab="0"/>
  </bookViews>
  <sheets>
    <sheet name="Mérleg" sheetId="1" r:id="rId1"/>
    <sheet name="Önálló intézmények bevétele" sheetId="2" r:id="rId2"/>
    <sheet name="Részben önálló int.bevétele" sheetId="3" r:id="rId3"/>
    <sheet name="Helyi adóbevételek" sheetId="4" r:id="rId4"/>
    <sheet name="Egyéb bevételek (2)" sheetId="5" r:id="rId5"/>
    <sheet name="Átvett pe." sheetId="6" r:id="rId6"/>
    <sheet name="Kp.-i tám." sheetId="7" r:id="rId7"/>
    <sheet name="Vagyonhasznositási bevétel (2)" sheetId="8" r:id="rId8"/>
    <sheet name="Önálló int.kiadása" sheetId="9" r:id="rId9"/>
    <sheet name="Részben önálló int.kiadása" sheetId="10" r:id="rId10"/>
    <sheet name="Ök feladatok (2)" sheetId="11" r:id="rId11"/>
    <sheet name="Városüzemeltetés" sheetId="12" r:id="rId12"/>
    <sheet name="Szociálpolitikai kiadások (2)" sheetId="13" r:id="rId13"/>
    <sheet name="Pénzátadás" sheetId="14" r:id="rId14"/>
    <sheet name="Céltartalékok (2)" sheetId="15" r:id="rId15"/>
    <sheet name="Beruházások (2)" sheetId="16" r:id="rId16"/>
    <sheet name="Felújítások" sheetId="17" r:id="rId17"/>
  </sheets>
  <externalReferences>
    <externalReference r:id="rId20"/>
  </externalReferences>
  <definedNames>
    <definedName name="GDP">'[1]Háttéradatok'!$B$22:$AG$28</definedName>
    <definedName name="nép">'[1]Háttéradatok'!$C$29:$AG$32</definedName>
    <definedName name="_xlnm.Print_Area" localSheetId="3">'Helyi adóbevételek'!$A$1:$C$33</definedName>
  </definedNames>
  <calcPr fullCalcOnLoad="1"/>
</workbook>
</file>

<file path=xl/comments15.xml><?xml version="1.0" encoding="utf-8"?>
<comments xmlns="http://schemas.openxmlformats.org/spreadsheetml/2006/main">
  <authors>
    <author>Lorinczl</author>
  </authors>
  <commentList>
    <comment ref="B7" authorId="0">
      <text>
        <r>
          <rPr>
            <b/>
            <sz val="8"/>
            <rFont val="Tahoma"/>
            <family val="2"/>
          </rPr>
          <t>Lorinczl: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<sst xmlns="http://schemas.openxmlformats.org/spreadsheetml/2006/main" count="541" uniqueCount="395">
  <si>
    <t>Minőségügy</t>
  </si>
  <si>
    <t>Inert hulladéklerakó üzemeltetés</t>
  </si>
  <si>
    <t>Szemétlerakó üzemeltetés/Nádudvar/</t>
  </si>
  <si>
    <t>Tehetséggondozás</t>
  </si>
  <si>
    <t>Szabadidősport</t>
  </si>
  <si>
    <t>Közművelődési feladatok</t>
  </si>
  <si>
    <t>Önkormányzati feladatok</t>
  </si>
  <si>
    <t>Szökőkutak üzemeltetése (vízdíj, áramdíj)</t>
  </si>
  <si>
    <t>Helyi adók összesen</t>
  </si>
  <si>
    <t>Átengedett központi adók összesen</t>
  </si>
  <si>
    <t>Átengedett SZJA</t>
  </si>
  <si>
    <t>Energetikus</t>
  </si>
  <si>
    <t>Polgármesteri hivatal intézményei összesen</t>
  </si>
  <si>
    <t>Polgármester összesen:</t>
  </si>
  <si>
    <t>Céltartalékok</t>
  </si>
  <si>
    <t>Kulturális és Sportalap</t>
  </si>
  <si>
    <t>Civil alap</t>
  </si>
  <si>
    <t>Szociális és egészségügyi feladatok támogatására</t>
  </si>
  <si>
    <t>Rendszeres szoc.segély</t>
  </si>
  <si>
    <t>Normatív lakásfenntartási támogatás</t>
  </si>
  <si>
    <t>Helyi közforgalmú közlekedés támog.</t>
  </si>
  <si>
    <t>Átadott pénzeszközök</t>
  </si>
  <si>
    <t>Közműfejlesztési hozzájárulás</t>
  </si>
  <si>
    <t>Könyvtárfejlesztésre</t>
  </si>
  <si>
    <t>Ingatlan értékesítés</t>
  </si>
  <si>
    <t>Szántó bérleti díj</t>
  </si>
  <si>
    <t>Üdülők bérleti díja</t>
  </si>
  <si>
    <t>Gyógyfürdő területhasználati díja</t>
  </si>
  <si>
    <t>Intézmények beruházásai, felújításai</t>
  </si>
  <si>
    <t>Egyesített Óvodai Intézmény összesen</t>
  </si>
  <si>
    <t xml:space="preserve">     B E V É T E L</t>
  </si>
  <si>
    <t>Közterülethasználati díj</t>
  </si>
  <si>
    <t>Egyéb áramdíjak</t>
  </si>
  <si>
    <t>Menetrend szerinti helyi autóbuszközlekedés</t>
  </si>
  <si>
    <t>Intézményi dolgozói cím adományozása</t>
  </si>
  <si>
    <t>Saját ingatlan hasznosítása</t>
  </si>
  <si>
    <t>Gépkocsi üzemeltetés</t>
  </si>
  <si>
    <t>Informatikai üzemeltetési költség</t>
  </si>
  <si>
    <t>Utak kátyúzása</t>
  </si>
  <si>
    <t>Komplex hulladéktelep</t>
  </si>
  <si>
    <t>Fesztiváltér vagyonhasználati díja</t>
  </si>
  <si>
    <t>Köztisztviselői nap,nyugdíjas találkozó</t>
  </si>
  <si>
    <t>Hungarospa  Rt alaptőke-emelés</t>
  </si>
  <si>
    <t>Működési célra átvett pénzeszközök összesen:</t>
  </si>
  <si>
    <t>Felhalmozási célra átvett pénzeszközök összesen:</t>
  </si>
  <si>
    <t>Szúnyoggyérítésre</t>
  </si>
  <si>
    <t>Turisztikai célkeret</t>
  </si>
  <si>
    <t>Mezőgazdasági Bizottság külterületi illegális hulladéklerakók</t>
  </si>
  <si>
    <t>Felhalmozási célra átadott pénzeszközök összesen</t>
  </si>
  <si>
    <t>Működési célra átadott pénzeszközök összesen:</t>
  </si>
  <si>
    <t>Bevétel mindösszesen</t>
  </si>
  <si>
    <t>Önerős közműépítés 15% visszautalás</t>
  </si>
  <si>
    <t>Mezőőrség vállalkozók általi támogatása</t>
  </si>
  <si>
    <t>Városmarketing</t>
  </si>
  <si>
    <t>HÉSZ módosítása</t>
  </si>
  <si>
    <t>5.</t>
  </si>
  <si>
    <t>Polgármesteri Hivatal intézményei összesen</t>
  </si>
  <si>
    <t>Telekértékesítés,adatszolgáltatás,vagyonkataszter</t>
  </si>
  <si>
    <t>Szúnyog- és rágcsálóírtás, növényvédelem</t>
  </si>
  <si>
    <t>Városi kitüntetések</t>
  </si>
  <si>
    <t>Hajdúszoboszlói Pedagógiai Szakszolgálat</t>
  </si>
  <si>
    <t>Szabó László Alapfokú Művészeti Okt.Int.támogatása</t>
  </si>
  <si>
    <t>Járóbeteg-Ellátó Centrum</t>
  </si>
  <si>
    <t>Nevezési díj</t>
  </si>
  <si>
    <t>Allergén növények kaszálása</t>
  </si>
  <si>
    <t>Hulladéklerakók fenntartása</t>
  </si>
  <si>
    <t>Lakáshoz jutás támog. - végleges jelleggel</t>
  </si>
  <si>
    <t>Járóbeteg-ellátó Centrum</t>
  </si>
  <si>
    <t>Tagdíjak</t>
  </si>
  <si>
    <t>Utcanévtáblák pótlása</t>
  </si>
  <si>
    <t>Szökőkutak karbantartása</t>
  </si>
  <si>
    <t>Városfejlesztési, Műszaki Bizottság:</t>
  </si>
  <si>
    <t>Közlekedési támogatás</t>
  </si>
  <si>
    <t>3, 4.</t>
  </si>
  <si>
    <t>4.</t>
  </si>
  <si>
    <t>Körzeti Építéshatóság</t>
  </si>
  <si>
    <t>Külterületi utak és hidak fenntartása</t>
  </si>
  <si>
    <t>Belterület utak fenntartása</t>
  </si>
  <si>
    <t>Eseti lakásfenntartási tám</t>
  </si>
  <si>
    <t>Ápolási díj alanyi</t>
  </si>
  <si>
    <t>Lakásfenntartás támogatása alanyi</t>
  </si>
  <si>
    <t>Lakásfenntartás támogatása helyi</t>
  </si>
  <si>
    <t>Köztemetés</t>
  </si>
  <si>
    <t>Temetési segély</t>
  </si>
  <si>
    <t>KEOP szennyvízprojekt támogatása</t>
  </si>
  <si>
    <t xml:space="preserve">Camping bevétele </t>
  </si>
  <si>
    <t>Nyári szoc.gyermekétkeztetésre</t>
  </si>
  <si>
    <t>Tüdőszűrésre</t>
  </si>
  <si>
    <t>Kulturális programok</t>
  </si>
  <si>
    <t>Hitel</t>
  </si>
  <si>
    <t>Könyvvizsgálatra,belső ellenőrzésre</t>
  </si>
  <si>
    <t>Fokozott ápolási díjhoz szakértői díj</t>
  </si>
  <si>
    <t>Ügyvitelfejlesztés</t>
  </si>
  <si>
    <t>Kistérségi Szociális Szolgáltató Központ támogatása</t>
  </si>
  <si>
    <t>Létszámleépítéssel kapcs. kiad. támogatása</t>
  </si>
  <si>
    <t>1/a.</t>
  </si>
  <si>
    <t>8/a.</t>
  </si>
  <si>
    <t>8/b.</t>
  </si>
  <si>
    <t>1/b.</t>
  </si>
  <si>
    <t>Hajdúszoboszló SE  támogatása</t>
  </si>
  <si>
    <t>Közbeszerzések kiadásai</t>
  </si>
  <si>
    <t>Mozgáskorlátozottak támogatására</t>
  </si>
  <si>
    <t>Interreg pályázat</t>
  </si>
  <si>
    <t>Pályázat kezelés</t>
  </si>
  <si>
    <t>Szennyvízcsatorna I-II ütem megtakarítások visszatérülése</t>
  </si>
  <si>
    <t>Zászlókihelyezés,pótlás</t>
  </si>
  <si>
    <t>Járóbeteg-ellátó Centrum felújítása</t>
  </si>
  <si>
    <t>INTERREG pályázat</t>
  </si>
  <si>
    <t>Forgalmi rend felülvizsgálat,kilátási háromszög bizt.</t>
  </si>
  <si>
    <t>Felújítási kiadások:</t>
  </si>
  <si>
    <t xml:space="preserve">Szennyvízcsatorna +telep befejezése </t>
  </si>
  <si>
    <t>Képviselőtestületi hatáskör:</t>
  </si>
  <si>
    <t>Felhalmozási kiadások:</t>
  </si>
  <si>
    <t>Légi marketing</t>
  </si>
  <si>
    <t>TISZK támogatása</t>
  </si>
  <si>
    <t>Egészségkárosodottak ellátása</t>
  </si>
  <si>
    <t>TDM támogatása + Turinform</t>
  </si>
  <si>
    <t>Szennyvízcsatorna III ütem önkormányzati hozzájárulás+kamat</t>
  </si>
  <si>
    <t>Közúthálózat felülvizsgálat geodéziai bemérés</t>
  </si>
  <si>
    <t>Fakivágás</t>
  </si>
  <si>
    <t xml:space="preserve">B  E  V  É  T  E  L </t>
  </si>
  <si>
    <t>K I A D Á S O K</t>
  </si>
  <si>
    <t>Ssz.</t>
  </si>
  <si>
    <t>Bevételek forrásonként</t>
  </si>
  <si>
    <t>Mellék-</t>
  </si>
  <si>
    <t>Kiadások</t>
  </si>
  <si>
    <t>let sz.</t>
  </si>
  <si>
    <t>8.</t>
  </si>
  <si>
    <t>2.</t>
  </si>
  <si>
    <t>9.</t>
  </si>
  <si>
    <t xml:space="preserve">Helyi adóbevételek  </t>
  </si>
  <si>
    <t>10.</t>
  </si>
  <si>
    <t xml:space="preserve">Városüzemeltetési feladatok </t>
  </si>
  <si>
    <t>11.</t>
  </si>
  <si>
    <t xml:space="preserve">Szociálpolitikai feladatok </t>
  </si>
  <si>
    <t>12.</t>
  </si>
  <si>
    <t xml:space="preserve">Állami támogatás </t>
  </si>
  <si>
    <t>6.</t>
  </si>
  <si>
    <t>Általános tartalék</t>
  </si>
  <si>
    <t>7.</t>
  </si>
  <si>
    <t>Összesen</t>
  </si>
  <si>
    <t>Lakásgazdálkodás egyéb bevétel</t>
  </si>
  <si>
    <t>Lakásgazdálkodás</t>
  </si>
  <si>
    <t>Kiadások mindösszesen</t>
  </si>
  <si>
    <t>Megnevezés</t>
  </si>
  <si>
    <t>Saját</t>
  </si>
  <si>
    <t>Pénzm.</t>
  </si>
  <si>
    <t>Támog.</t>
  </si>
  <si>
    <t>Pávai Vajna Ferenc Ált. Isk.</t>
  </si>
  <si>
    <t>Közgazdasági Szakközépiskola</t>
  </si>
  <si>
    <t>Szép Ernő Kollégium</t>
  </si>
  <si>
    <t>Polgármesteri Hivatal</t>
  </si>
  <si>
    <t>Idegenforgalmi adó</t>
  </si>
  <si>
    <t>Közterületfelügyelet</t>
  </si>
  <si>
    <t>Állategészségügy</t>
  </si>
  <si>
    <t>Családi és társadalmi ünnepségek</t>
  </si>
  <si>
    <t>Polgári védelem</t>
  </si>
  <si>
    <t>Önkormányzati ig.tev.</t>
  </si>
  <si>
    <t>Sportház bevétele</t>
  </si>
  <si>
    <t>Előző évi visszatérülések</t>
  </si>
  <si>
    <t>Mindösszesen</t>
  </si>
  <si>
    <t>Bérpolitikai intézkedésekre keresetkieg.</t>
  </si>
  <si>
    <t>Személyi juttatás</t>
  </si>
  <si>
    <t>Dologi kiadás</t>
  </si>
  <si>
    <t>Pénzeszköz átadás</t>
  </si>
  <si>
    <t>Ellátottak pénz. támog.</t>
  </si>
  <si>
    <t>Felhalm. kiadás</t>
  </si>
  <si>
    <t>Járulékok</t>
  </si>
  <si>
    <t>Dologi kiadások</t>
  </si>
  <si>
    <t>Pénzeszk. átadás</t>
  </si>
  <si>
    <t>Ellátott. pénz.jut.</t>
  </si>
  <si>
    <t>Felúj. kiadás</t>
  </si>
  <si>
    <t>Állattenyésztés</t>
  </si>
  <si>
    <t>Diáksport</t>
  </si>
  <si>
    <t>Közterület felügyelet</t>
  </si>
  <si>
    <t>Vendégellenőrök</t>
  </si>
  <si>
    <t xml:space="preserve">Fénymásolás </t>
  </si>
  <si>
    <t>Gyámhivatal</t>
  </si>
  <si>
    <t>Családi társ. ünnepek</t>
  </si>
  <si>
    <t>Tornacsarnok üzem.</t>
  </si>
  <si>
    <t>Felhalmozás</t>
  </si>
  <si>
    <t>Parkfenntartás</t>
  </si>
  <si>
    <t>Közgyógyellátás</t>
  </si>
  <si>
    <t>Képviselői juttatás</t>
  </si>
  <si>
    <t>Oktatáspol. célfeladat</t>
  </si>
  <si>
    <t>Kötelező orvosi vizsgálat</t>
  </si>
  <si>
    <t>Külön kiadások</t>
  </si>
  <si>
    <t>Adóérdekeltség</t>
  </si>
  <si>
    <t>Bocskai I.Szakk.Isk.</t>
  </si>
  <si>
    <t>Kovács Máté Műv.Kp.és Könyvtár</t>
  </si>
  <si>
    <t>Bárdos Lajos Ált.Iskola</t>
  </si>
  <si>
    <t>Okmányiroda</t>
  </si>
  <si>
    <t>Környezetvédelmi Alap</t>
  </si>
  <si>
    <t>Gönczy Pál Általános Iskola</t>
  </si>
  <si>
    <t>Thököly I  Általános Iskola</t>
  </si>
  <si>
    <t>Bárdos L. Általános Iskola</t>
  </si>
  <si>
    <t>Pávai Vajna Ferenc Általános Iskola</t>
  </si>
  <si>
    <t>Bocskai I. Szakképző Iskola</t>
  </si>
  <si>
    <t>Hőgyes Endre Gimnázium</t>
  </si>
  <si>
    <t>Kovács M. Műv. Kp. és Könyvtár</t>
  </si>
  <si>
    <t>Városi Televízió</t>
  </si>
  <si>
    <t>Közgazdasági Szakközépisk.</t>
  </si>
  <si>
    <t>Thököly I. Általános Isk.</t>
  </si>
  <si>
    <t>Gönczy Pál Általános Isk.</t>
  </si>
  <si>
    <t>Központi ei., egyéb állami támogatás</t>
  </si>
  <si>
    <t>ÁFA befizetés</t>
  </si>
  <si>
    <t>Felnőttek átmeneti segély idősz. tám.</t>
  </si>
  <si>
    <t>Úszásoktatás</t>
  </si>
  <si>
    <t>Beruházások és átadott pénzeszközök</t>
  </si>
  <si>
    <t>Vagyonbiztosítás</t>
  </si>
  <si>
    <t>Mezőőrség</t>
  </si>
  <si>
    <t xml:space="preserve"> K I A D Á S</t>
  </si>
  <si>
    <t>K I A D Á S</t>
  </si>
  <si>
    <t>Ápolási díj</t>
  </si>
  <si>
    <t>Kiskorúak térítési díj átvállalása</t>
  </si>
  <si>
    <t>Időskorúak járadéka</t>
  </si>
  <si>
    <t>Közvilágítás</t>
  </si>
  <si>
    <t>Közműnyilvántartás</t>
  </si>
  <si>
    <t>Ifjúságpolitika</t>
  </si>
  <si>
    <t>Városháza takarítás</t>
  </si>
  <si>
    <t>járulékok</t>
  </si>
  <si>
    <t>Felújítás</t>
  </si>
  <si>
    <t>Zichy G. Zeneiskola</t>
  </si>
  <si>
    <t>Városi Bölcsőde</t>
  </si>
  <si>
    <t>Közmünyilvántartás</t>
  </si>
  <si>
    <t>Rendkív. gyermekvédelmi támog.</t>
  </si>
  <si>
    <t>Okmányiroda bevételei</t>
  </si>
  <si>
    <t>Lakásgazdálkodási bevételei</t>
  </si>
  <si>
    <t>Körzeti építéshatóság</t>
  </si>
  <si>
    <t>Bérlakás érték.törlesztőrészlete + kamat</t>
  </si>
  <si>
    <t>Önkorm. egyéb bevét. és átvett pénzeszk.</t>
  </si>
  <si>
    <t>Agrártermelési támog. mezőőrségre</t>
  </si>
  <si>
    <t>B  E  V É  T  E  L</t>
  </si>
  <si>
    <t xml:space="preserve">   B  E  V É  T  E  L</t>
  </si>
  <si>
    <t>Ingatlan bérbeadása</t>
  </si>
  <si>
    <t>Lapkiadó Intézmény</t>
  </si>
  <si>
    <t>Átengedett központi adók</t>
  </si>
  <si>
    <t>Közfoglalkoztatás (5-30%)</t>
  </si>
  <si>
    <t>8,11, 13,14</t>
  </si>
  <si>
    <t>8/a,8/b</t>
  </si>
  <si>
    <t>Átv.pénz</t>
  </si>
  <si>
    <t>Közvilágítás bővítés</t>
  </si>
  <si>
    <t>Ingatlanvásárlás, kisajátítás,korlátozási kártalanítás</t>
  </si>
  <si>
    <t>Működési jellegűek</t>
  </si>
  <si>
    <t>Felhalmozási jellegűek</t>
  </si>
  <si>
    <t xml:space="preserve">Vagyonhasznosítási bevétel </t>
  </si>
  <si>
    <t>Iparűzési adó</t>
  </si>
  <si>
    <t>SZJA kiegészítés</t>
  </si>
  <si>
    <t>Gépjárműadó</t>
  </si>
  <si>
    <t>Bölcsőde felújítására</t>
  </si>
  <si>
    <t>Városi sportház felújítás LEADER pályázat</t>
  </si>
  <si>
    <t>Óvodáztatási támogatás</t>
  </si>
  <si>
    <t>Adóellenőrzés</t>
  </si>
  <si>
    <t>Szoftverhasználati díjak</t>
  </si>
  <si>
    <t>Vízrendezés belvízmentesítés</t>
  </si>
  <si>
    <t>Köztisztaság síktalanítás</t>
  </si>
  <si>
    <t>Szemétszállítás többletköltsége</t>
  </si>
  <si>
    <t>Karácsonyi-szilveszteri díszkivilágítás</t>
  </si>
  <si>
    <t>Játszóterek karbantartása</t>
  </si>
  <si>
    <t>Egyesített Óvodai Intézmények</t>
  </si>
  <si>
    <t>Turisztikai Bizottság összesen:</t>
  </si>
  <si>
    <t>Ügyrendi, Igazgatási, Jogi Bizottság:</t>
  </si>
  <si>
    <t>Egészségügyi, Szociális Bizottság összesen:</t>
  </si>
  <si>
    <t>Oktatási, Kulturális és Sport Bizottság összesen:</t>
  </si>
  <si>
    <t>Járóbeteg-ellátó Centrum épület felújítás</t>
  </si>
  <si>
    <t>Aktív koruak rendszeres szociális segélye</t>
  </si>
  <si>
    <t>Kiskorúak beiskolázási támogatása</t>
  </si>
  <si>
    <t>Nyári szociális gyermekétkeztetés</t>
  </si>
  <si>
    <t>Buszos emlőszűrés szervezése</t>
  </si>
  <si>
    <t>Viziközmű társulat kiadásai,hitelkamat</t>
  </si>
  <si>
    <t xml:space="preserve">Megszűnő víziközmű társulat működési költségei </t>
  </si>
  <si>
    <t>Szent István park őrzése,Mátyás Király sorompókezelés</t>
  </si>
  <si>
    <t>Jókai sor nyilvános illemhely üzemeltetés</t>
  </si>
  <si>
    <t>Közterületek fenntartási,karbantartási  költségei</t>
  </si>
  <si>
    <t>TAMOP 1.4.4 foglalkoztatási pályázat</t>
  </si>
  <si>
    <t>Közfoglalkoztatás</t>
  </si>
  <si>
    <t>Előző évi állami támogatás visszafizetése</t>
  </si>
  <si>
    <t>Integrált Városfejlesztési Stratégia</t>
  </si>
  <si>
    <t>Szociális városrehabilitáció önrész</t>
  </si>
  <si>
    <t>Vagyonhasználati díj /víz/</t>
  </si>
  <si>
    <t>Vagyonhasználati díj /csatorna/</t>
  </si>
  <si>
    <t>Vagyonhasználati díj /távhő/</t>
  </si>
  <si>
    <t>Szabadtéri színpad rekonstrukció /HURO 1101/ önrész</t>
  </si>
  <si>
    <t>Digitális alaptérkép</t>
  </si>
  <si>
    <t>Önk.-i belterületi utak fejl. (ÉAOP-3.1.2/A-11) Hőforrás u.</t>
  </si>
  <si>
    <t>Önk.-i belterületi utak fejl. (ÉAOP-3.1.2/A-11) Kossuth-Luther-Hőgyes u.</t>
  </si>
  <si>
    <t>Külterületi belvízel.csat.fennmaradási engedélye</t>
  </si>
  <si>
    <t>Érintésvédelmi felülvizsgálatok</t>
  </si>
  <si>
    <t>Idegenforgalmi adó diferenciált kiegészitése</t>
  </si>
  <si>
    <t>Pénzmaradv.igénybevétele / előző évi/</t>
  </si>
  <si>
    <t>Szabad pénzmaradvány /előző évi/</t>
  </si>
  <si>
    <t>Építés és településfejlesztés /rendezési tervek/</t>
  </si>
  <si>
    <t>Polgármesteri Hivatal ig.tev.</t>
  </si>
  <si>
    <t>(H)ősök terein- város-és kultúrközpont revit. Hajdúszoboszlón (ÉAOP-5.1.1/D-09-2F-2011-0004)</t>
  </si>
  <si>
    <t>Bölcsőde fejlesztés ÉAOP</t>
  </si>
  <si>
    <t>(H)ősök terein- város-és kultúrközpont revit. Hajdúszoboszlón      (ÉAOP-5.1.1/D-09-2F-2011-0004)</t>
  </si>
  <si>
    <t>Közterületek felújítása</t>
  </si>
  <si>
    <t>TDM iroda épületbe bútor vásárlás</t>
  </si>
  <si>
    <t>Adminisztrációs kisegítők</t>
  </si>
  <si>
    <t>Egyesített Óvodai  Intézmények</t>
  </si>
  <si>
    <t>Felhalmozási célra átvett pénzeszközök</t>
  </si>
  <si>
    <t>Építményadó</t>
  </si>
  <si>
    <t>Önállóan gazdálkodó intézmények bevételei</t>
  </si>
  <si>
    <t>Önállóan működő intézmények bevételei</t>
  </si>
  <si>
    <t>Önállóan gazdálkodó intézmények kiadásai</t>
  </si>
  <si>
    <t>Önállóan működő intézmények kiadásai</t>
  </si>
  <si>
    <t>Közmunkára</t>
  </si>
  <si>
    <t>Önkormányzati egyéb bevételek</t>
  </si>
  <si>
    <t>Önkormányzati egyéb bevételek összesen</t>
  </si>
  <si>
    <t>Polgármesteri Hivatal egyéb bevételek</t>
  </si>
  <si>
    <t>Polgármesteri Hivatal egyéb bevételek összesen</t>
  </si>
  <si>
    <t>Egyéb bevételek mindösszesen</t>
  </si>
  <si>
    <t>Polgármesteri Hivatal működési bevételek</t>
  </si>
  <si>
    <t>Polgármesteri Hivatal működési bevételek összesen</t>
  </si>
  <si>
    <t>Önkormányzati felhalmozási bevételek</t>
  </si>
  <si>
    <t>Önkormányzati felhalmozási bevételek összesen</t>
  </si>
  <si>
    <t>Lakásgazdálkodási bevételei összesen</t>
  </si>
  <si>
    <t>Vagyonhasznositási bevétel mindösszesen</t>
  </si>
  <si>
    <t>Polgármesteri Hivatal feladatai</t>
  </si>
  <si>
    <t>Polgármesteri Hivatal feladatai összesen</t>
  </si>
  <si>
    <t>Önkormányzati feladatok összesen</t>
  </si>
  <si>
    <t>Úszásoktatás szállítási költsége</t>
  </si>
  <si>
    <t>Pénzügyi, Gazdasági Bizottság rendkívüli kiadási keret:</t>
  </si>
  <si>
    <t>Térségi kerékpárút Ebes Hajdúszoboszló tervezés</t>
  </si>
  <si>
    <t>Polgármesteri Hivatal kiadásai:</t>
  </si>
  <si>
    <t>Önkormányzati feladatok összesen:</t>
  </si>
  <si>
    <t>Polgármesteri Hivatal feladatai összesen:</t>
  </si>
  <si>
    <t>Fogthűy utca átkötése</t>
  </si>
  <si>
    <t>Felhalmozás mindösszesen:</t>
  </si>
  <si>
    <t>Önkormányzati felújítások összesen:</t>
  </si>
  <si>
    <t>Vagyonhasználati díj /sportpálya/</t>
  </si>
  <si>
    <t>Foglalkoztatást helyettesítő támogatás</t>
  </si>
  <si>
    <t xml:space="preserve">          Polgármesteri Hivatal összesen:</t>
  </si>
  <si>
    <t>Tűzifa támogatás</t>
  </si>
  <si>
    <t xml:space="preserve">          Önkormányzat összesen:</t>
  </si>
  <si>
    <t>Bárdos isk.felújítása /KEOP-6.2.0-/B.09.11/ önrész</t>
  </si>
  <si>
    <t>Nyugati sor keleti főcsat kerékpárút felújítás</t>
  </si>
  <si>
    <t>Szent István park szökőkút felújítás</t>
  </si>
  <si>
    <t>2012 évi eredeti előirányzat</t>
  </si>
  <si>
    <t>2012 évi módositott előirányzat</t>
  </si>
  <si>
    <t>2012 er.ei</t>
  </si>
  <si>
    <t>2012 mód.ei</t>
  </si>
  <si>
    <t>2012 évi módosított előirányzat</t>
  </si>
  <si>
    <t>2012 er.ei.</t>
  </si>
  <si>
    <t>2012 mód.ei.</t>
  </si>
  <si>
    <t>Hulladéklerakási díj áthárítása</t>
  </si>
  <si>
    <t>Szabálysértés</t>
  </si>
  <si>
    <t>Áfa visszatérülés</t>
  </si>
  <si>
    <t>Vállalkozók kommunális adója</t>
  </si>
  <si>
    <t>Pótlék, bírság</t>
  </si>
  <si>
    <t>Termőföld bérbeadásából szárm.jöved.</t>
  </si>
  <si>
    <t>Környezetvéd.bírság</t>
  </si>
  <si>
    <t>Talajterhelési díj</t>
  </si>
  <si>
    <t>Sportlétesítmény rezsi díjai</t>
  </si>
  <si>
    <t>Foglalkoztatást hely.tám.</t>
  </si>
  <si>
    <t>Kisebbségi Ök-k támogtása</t>
  </si>
  <si>
    <t>Horti kanális iszapelszállítás</t>
  </si>
  <si>
    <t>2011 évi intézményi alulfinanszírozás</t>
  </si>
  <si>
    <t>Bölcsőde felújításához kapcs. költségek</t>
  </si>
  <si>
    <t>Kistérségi Szociális Szolgáltató Központ épületfelúj. pályázat</t>
  </si>
  <si>
    <t>Kerékpárút hálózati projekt terv</t>
  </si>
  <si>
    <t>TDM épület előtti térburkolat felújítása</t>
  </si>
  <si>
    <t>2011 évi felújítási keret maradványa</t>
  </si>
  <si>
    <t>Gábor Á. u. rekonstrukció eljárási díjai</t>
  </si>
  <si>
    <t>Önerős közműépítés</t>
  </si>
  <si>
    <t>Harangház felújítása</t>
  </si>
  <si>
    <t>Fásítás és utógondozása</t>
  </si>
  <si>
    <t>Keresetkiegészítésre előleg</t>
  </si>
  <si>
    <t>Óvodáztatási tám.</t>
  </si>
  <si>
    <t>Iskolaegészségügy</t>
  </si>
  <si>
    <t>Sportpálya fenntartás rezsiköltségei</t>
  </si>
  <si>
    <t>Víziközmű Zrt vagyoni betét vásárlása</t>
  </si>
  <si>
    <t>Ingatlan hasznosítások (rezsidíjak)</t>
  </si>
  <si>
    <t>Továbbszámlázott szolgáltatások</t>
  </si>
  <si>
    <t>Kisebbségi önkormányzatok állami támog. átadása</t>
  </si>
  <si>
    <t>Iskolaegészségügyre+ emlőszűrésre</t>
  </si>
  <si>
    <t>Egyéb (virágcsokor, postaktg stb.)</t>
  </si>
  <si>
    <t>Csapadékvíz- , belvíz  elvezetés ÉAOP pályázat önrész</t>
  </si>
  <si>
    <t>Pávai isk. környékén gyalogátkelőhely létesítése</t>
  </si>
  <si>
    <t>TIOP-1.1.1. Interaktív tábla</t>
  </si>
  <si>
    <t>Esélyegyenlőséget szolgáló támogatások</t>
  </si>
  <si>
    <t>TIOP-1.1.1 Interaktív tábla</t>
  </si>
  <si>
    <t>Csapadékvíz-elvezetés, -fejlesztés</t>
  </si>
  <si>
    <t>Igazgatás</t>
  </si>
  <si>
    <t>HÉSZ módosításához hozzájárulás</t>
  </si>
  <si>
    <t>Kieg. és egyszeri gyermekvédelmi támogatásra (pénzbeni és természetbeni tám.)</t>
  </si>
  <si>
    <t>Kieg. gyermekvédelmi támogatás (pénzbeni és term.beni tám.)</t>
  </si>
  <si>
    <t>LÉDER-HACS működési kiadásaira kölcsön</t>
  </si>
  <si>
    <t>Egyéb (postaktg, üzemanyag stb)</t>
  </si>
  <si>
    <t>TISZK megszűnés miatti tám.visszafizetése</t>
  </si>
  <si>
    <t>Saját intézmény többletbevétel befizetése</t>
  </si>
  <si>
    <t>Csatorna mosatásra</t>
  </si>
  <si>
    <t>Régi típusú játszóterek felújítása</t>
  </si>
  <si>
    <t>Hősök tere szökőkút felújítás</t>
  </si>
  <si>
    <t>Pénzmadványt terhelő kifizetés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</si>
</sst>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_ ;\-#,##0\ "/>
    <numFmt numFmtId="166" formatCode="#,###"/>
    <numFmt numFmtId="167" formatCode="#,##0.0000"/>
    <numFmt numFmtId="168" formatCode="#,##0.0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b/>
      <sz val="10"/>
      <color indexed="18"/>
      <name val="MS Sans Serif"/>
      <family val="2"/>
    </font>
    <font>
      <b/>
      <sz val="12"/>
      <color indexed="8"/>
      <name val="Times New Roman CE"/>
      <family val="1"/>
    </font>
    <font>
      <sz val="10"/>
      <color indexed="8"/>
      <name val="Times New Roman CE"/>
      <family val="1"/>
    </font>
    <font>
      <sz val="10"/>
      <name val="Times New Roman CE"/>
      <family val="1"/>
    </font>
    <font>
      <b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8"/>
      <color indexed="8"/>
      <name val="Times New Roman CE"/>
      <family val="1"/>
    </font>
    <font>
      <sz val="10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color indexed="8"/>
      <name val="Times New Roman CE"/>
      <family val="1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Times New Roman CE"/>
      <family val="1"/>
    </font>
    <font>
      <sz val="10"/>
      <color indexed="10"/>
      <name val="Times New Roman CE"/>
      <family val="1"/>
    </font>
    <font>
      <b/>
      <i/>
      <sz val="10"/>
      <color indexed="8"/>
      <name val="Times New Roman CE"/>
      <family val="1"/>
    </font>
    <font>
      <sz val="8.5"/>
      <name val="MS Sans Serif"/>
      <family val="2"/>
    </font>
    <font>
      <sz val="8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/>
      <bottom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/>
      <top style="double"/>
      <bottom/>
    </border>
    <border>
      <left style="double"/>
      <right/>
      <top style="thin">
        <color indexed="8"/>
      </top>
      <bottom/>
    </border>
    <border>
      <left style="double"/>
      <right/>
      <top style="medium"/>
      <bottom style="double"/>
    </border>
    <border>
      <left style="double"/>
      <right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double"/>
      <bottom/>
    </border>
    <border>
      <left style="double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double"/>
      <right style="medium"/>
      <top style="thin">
        <color indexed="8"/>
      </top>
      <bottom style="medium">
        <color indexed="8"/>
      </bottom>
    </border>
    <border>
      <left style="double"/>
      <right style="medium"/>
      <top style="thin">
        <color indexed="8"/>
      </top>
      <bottom/>
    </border>
    <border>
      <left style="thin"/>
      <right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/>
    </border>
    <border>
      <left style="double"/>
      <right style="medium"/>
      <top style="double"/>
      <bottom/>
    </border>
    <border>
      <left style="thin"/>
      <right style="medium"/>
      <top style="thin">
        <color indexed="8"/>
      </top>
      <bottom style="medium">
        <color indexed="8"/>
      </bottom>
    </border>
    <border>
      <left style="double"/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>
        <color indexed="8"/>
      </left>
      <right/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double"/>
      <right style="medium"/>
      <top style="medium"/>
      <bottom style="double"/>
    </border>
    <border>
      <left style="medium">
        <color indexed="8"/>
      </left>
      <right style="double"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double">
        <color indexed="8"/>
      </left>
      <right style="medium">
        <color indexed="8"/>
      </right>
      <top/>
      <bottom style="double">
        <color indexed="8"/>
      </bottom>
    </border>
    <border>
      <left style="double"/>
      <right style="medium"/>
      <top style="thin"/>
      <bottom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/>
      <top style="thin">
        <color indexed="8"/>
      </top>
      <bottom style="double"/>
    </border>
    <border>
      <left/>
      <right/>
      <top style="thin">
        <color indexed="8"/>
      </top>
      <bottom style="medium">
        <color indexed="8"/>
      </bottom>
    </border>
    <border>
      <left style="double"/>
      <right style="medium"/>
      <top/>
      <bottom style="double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/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medium"/>
      <top style="medium"/>
      <bottom style="double"/>
    </border>
    <border>
      <left style="double"/>
      <right style="medium"/>
      <top/>
      <bottom/>
    </border>
    <border>
      <left style="double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double"/>
      <right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double"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/>
      <right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double"/>
    </border>
    <border>
      <left style="thin">
        <color indexed="8"/>
      </left>
      <right style="medium">
        <color indexed="8"/>
      </right>
      <top/>
      <bottom/>
    </border>
    <border>
      <left/>
      <right/>
      <top style="thin"/>
      <bottom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double"/>
      <right/>
      <top style="thin">
        <color indexed="8"/>
      </top>
      <bottom style="thin">
        <color indexed="8"/>
      </bottom>
    </border>
    <border>
      <left style="double"/>
      <right/>
      <top style="thin"/>
      <bottom style="thin"/>
    </border>
    <border>
      <left style="double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/>
      <right style="medium">
        <color indexed="8"/>
      </right>
      <top/>
      <bottom style="thin"/>
    </border>
    <border>
      <left style="double"/>
      <right/>
      <top/>
      <bottom style="thin"/>
    </border>
    <border>
      <left/>
      <right style="medium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double"/>
      <right style="medium"/>
      <top style="thin">
        <color indexed="8"/>
      </top>
      <bottom style="double"/>
    </border>
    <border>
      <left style="double"/>
      <right style="medium">
        <color indexed="8"/>
      </right>
      <top/>
      <bottom/>
    </border>
    <border>
      <left style="double"/>
      <right style="medium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double"/>
      <right style="medium">
        <color indexed="8"/>
      </right>
      <top style="thin"/>
      <bottom style="thin"/>
    </border>
    <border>
      <left style="double"/>
      <right style="medium">
        <color indexed="8"/>
      </right>
      <top style="thin"/>
      <bottom style="double"/>
    </border>
    <border>
      <left style="double"/>
      <right style="medium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 style="double"/>
      <right style="medium"/>
      <top style="thin"/>
      <bottom style="medium"/>
    </border>
    <border>
      <left style="double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double"/>
    </border>
    <border>
      <left style="medium"/>
      <right style="medium"/>
      <top style="medium">
        <color indexed="8"/>
      </top>
      <bottom style="double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medium"/>
    </border>
    <border>
      <left style="medium"/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/>
      <bottom style="medium"/>
    </border>
    <border>
      <left style="medium">
        <color indexed="8"/>
      </left>
      <right/>
      <top style="thin"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 style="thin"/>
      <top style="thin">
        <color indexed="8"/>
      </top>
      <bottom/>
    </border>
    <border>
      <left style="medium">
        <color indexed="8"/>
      </left>
      <right/>
      <top/>
      <bottom style="thin"/>
    </border>
    <border>
      <left style="medium">
        <color indexed="8"/>
      </left>
      <right/>
      <top style="thin"/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double"/>
    </border>
    <border>
      <left style="medium">
        <color indexed="8"/>
      </left>
      <right style="medium">
        <color indexed="8"/>
      </right>
      <top style="thin"/>
      <bottom style="double"/>
    </border>
    <border>
      <left style="double"/>
      <right style="medium">
        <color indexed="8"/>
      </right>
      <top style="medium"/>
      <bottom style="double"/>
    </border>
    <border>
      <left style="thin">
        <color indexed="8"/>
      </left>
      <right/>
      <top style="medium"/>
      <bottom style="double"/>
    </border>
    <border>
      <left style="thin">
        <color indexed="8"/>
      </left>
      <right style="medium">
        <color indexed="8"/>
      </right>
      <top style="medium"/>
      <bottom style="double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double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/>
      <right style="double"/>
      <top style="double"/>
      <bottom/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thin">
        <color indexed="8"/>
      </left>
      <right style="double"/>
      <top style="thin">
        <color indexed="8"/>
      </top>
      <bottom/>
    </border>
    <border>
      <left style="thin">
        <color indexed="8"/>
      </left>
      <right style="double"/>
      <top style="thin">
        <color indexed="8"/>
      </top>
      <bottom style="double"/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double"/>
    </border>
    <border>
      <left style="medium">
        <color indexed="8"/>
      </left>
      <right style="double"/>
      <top style="thin"/>
      <bottom/>
    </border>
    <border>
      <left style="thin">
        <color indexed="8"/>
      </left>
      <right style="double"/>
      <top style="medium"/>
      <bottom style="thin"/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double"/>
      <top style="thin"/>
      <bottom style="medium"/>
    </border>
    <border>
      <left style="medium"/>
      <right style="double"/>
      <top/>
      <bottom style="double"/>
    </border>
    <border>
      <left style="thin"/>
      <right style="double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double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double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/>
      <top style="double"/>
      <bottom/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/>
      <top style="thin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>
        <color indexed="8"/>
      </top>
      <bottom style="medium">
        <color indexed="8"/>
      </bottom>
    </border>
    <border>
      <left>
        <color indexed="63"/>
      </left>
      <right/>
      <top style="medium"/>
      <bottom style="double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/>
      <bottom/>
    </border>
    <border>
      <left style="thin">
        <color indexed="8"/>
      </left>
      <right style="double"/>
      <top style="medium">
        <color indexed="8"/>
      </top>
      <bottom style="thin">
        <color indexed="8"/>
      </bottom>
    </border>
    <border>
      <left style="thin">
        <color indexed="8"/>
      </left>
      <right style="double"/>
      <top style="medium"/>
      <bottom style="medium"/>
    </border>
    <border>
      <left style="thin">
        <color indexed="8"/>
      </left>
      <right style="double"/>
      <top style="thin"/>
      <bottom style="thin">
        <color indexed="8"/>
      </bottom>
    </border>
    <border>
      <left style="medium"/>
      <right style="double"/>
      <top style="medium">
        <color indexed="8"/>
      </top>
      <bottom style="double"/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/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/>
      <right style="double"/>
      <top style="thin">
        <color indexed="8"/>
      </top>
      <bottom style="medium">
        <color indexed="8"/>
      </bottom>
    </border>
    <border>
      <left/>
      <right style="double"/>
      <top style="thin">
        <color indexed="8"/>
      </top>
      <bottom/>
    </border>
    <border>
      <left style="thin">
        <color indexed="8"/>
      </left>
      <right style="double"/>
      <top style="medium"/>
      <bottom style="double"/>
    </border>
    <border>
      <left style="thin"/>
      <right style="double"/>
      <top style="thin">
        <color indexed="8"/>
      </top>
      <bottom/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medium">
        <color indexed="8"/>
      </top>
      <bottom style="double"/>
    </border>
    <border>
      <left style="medium">
        <color indexed="8"/>
      </left>
      <right style="double"/>
      <top style="thin">
        <color indexed="8"/>
      </top>
      <bottom style="thin">
        <color indexed="8"/>
      </bottom>
    </border>
    <border>
      <left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 style="double"/>
      <top style="medium"/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>
        <color indexed="8"/>
      </left>
      <right style="double"/>
      <top style="thin"/>
      <bottom style="double"/>
    </border>
    <border>
      <left/>
      <right style="double"/>
      <top style="thin"/>
      <bottom/>
    </border>
    <border>
      <left style="medium"/>
      <right style="double"/>
      <top style="thin">
        <color indexed="8"/>
      </top>
      <bottom/>
    </border>
    <border>
      <left style="medium"/>
      <right style="double"/>
      <top style="thin"/>
      <bottom style="thin">
        <color indexed="8"/>
      </bottom>
    </border>
    <border>
      <left style="medium">
        <color indexed="8"/>
      </left>
      <right style="double"/>
      <top style="thin">
        <color indexed="8"/>
      </top>
      <bottom style="thin"/>
    </border>
    <border>
      <left/>
      <right style="double"/>
      <top style="thin"/>
      <bottom style="thin"/>
    </border>
    <border>
      <left style="medium">
        <color indexed="8"/>
      </left>
      <right style="double"/>
      <top style="thin">
        <color indexed="8"/>
      </top>
      <bottom/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/>
      <bottom/>
    </border>
    <border>
      <left style="thin"/>
      <right style="medium">
        <color indexed="8"/>
      </right>
      <top style="medium"/>
      <bottom style="medium"/>
    </border>
    <border>
      <left style="thin"/>
      <right style="medium">
        <color indexed="8"/>
      </right>
      <top/>
      <bottom style="thin"/>
    </border>
    <border>
      <left style="thin"/>
      <right style="medium">
        <color indexed="8"/>
      </right>
      <top/>
      <bottom style="thin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/>
      <right style="double"/>
      <top style="double"/>
      <bottom style="thin">
        <color indexed="8"/>
      </bottom>
    </border>
    <border>
      <left style="double">
        <color indexed="8"/>
      </left>
      <right style="thick">
        <color indexed="8"/>
      </right>
      <top style="double">
        <color indexed="8"/>
      </top>
      <bottom/>
    </border>
    <border>
      <left style="double">
        <color indexed="8"/>
      </left>
      <right style="thick">
        <color indexed="8"/>
      </right>
      <top/>
      <bottom style="medium">
        <color indexed="8"/>
      </bottom>
    </border>
    <border>
      <left style="double"/>
      <right style="medium"/>
      <top/>
      <bottom style="medium">
        <color indexed="8"/>
      </bottom>
    </border>
    <border>
      <left style="medium"/>
      <right/>
      <top style="double"/>
      <bottom/>
    </border>
    <border>
      <left style="medium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thin">
        <color indexed="8"/>
      </bottom>
    </border>
    <border>
      <left/>
      <right style="medium">
        <color indexed="8"/>
      </right>
      <top style="double"/>
      <bottom style="thin">
        <color indexed="8"/>
      </bottom>
    </border>
    <border>
      <left style="medium">
        <color indexed="8"/>
      </left>
      <right/>
      <top style="double"/>
      <bottom style="thin">
        <color indexed="8"/>
      </bottom>
    </border>
    <border>
      <left/>
      <right style="double">
        <color indexed="8"/>
      </right>
      <top style="double"/>
      <bottom style="thin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 style="medium"/>
      <top style="double"/>
      <bottom style="thin">
        <color indexed="8"/>
      </bottom>
    </border>
    <border>
      <left style="double"/>
      <right/>
      <top/>
      <bottom style="medium">
        <color indexed="8"/>
      </bottom>
    </border>
    <border>
      <left style="medium"/>
      <right style="thin"/>
      <top style="double"/>
      <bottom/>
    </border>
    <border>
      <left style="medium"/>
      <right style="thin"/>
      <top/>
      <bottom style="medium">
        <color indexed="8"/>
      </bottom>
    </border>
    <border>
      <left style="thin"/>
      <right style="double"/>
      <top style="double"/>
      <bottom/>
    </border>
    <border>
      <left style="thin"/>
      <right style="double"/>
      <top/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29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5">
      <alignment vertical="center"/>
      <protection/>
    </xf>
    <xf numFmtId="1" fontId="7" fillId="11" borderId="6" applyFill="0">
      <alignment vertical="center"/>
      <protection/>
    </xf>
    <xf numFmtId="0" fontId="33" fillId="12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8" applyNumberFormat="0" applyFill="0" applyAlignment="0" applyProtection="0"/>
    <xf numFmtId="1" fontId="6" fillId="0" borderId="6">
      <alignment vertical="center"/>
      <protection locked="0"/>
    </xf>
    <xf numFmtId="0" fontId="0" fillId="4" borderId="9" applyNumberFormat="0" applyFont="0" applyAlignment="0" applyProtection="0"/>
    <xf numFmtId="0" fontId="36" fillId="1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26" fillId="6" borderId="0" applyNumberFormat="0" applyBorder="0" applyAlignment="0" applyProtection="0"/>
    <xf numFmtId="0" fontId="30" fillId="11" borderId="10" applyNumberFormat="0" applyAlignment="0" applyProtection="0"/>
    <xf numFmtId="0" fontId="34" fillId="0" borderId="0" applyNumberFormat="0" applyFill="0" applyBorder="0" applyAlignment="0" applyProtection="0"/>
    <xf numFmtId="0" fontId="4" fillId="0" borderId="11" applyNumberFormat="0" applyFont="0" applyFill="0" applyAlignment="0">
      <protection/>
    </xf>
    <xf numFmtId="0" fontId="0" fillId="0" borderId="0">
      <alignment/>
      <protection/>
    </xf>
    <xf numFmtId="0" fontId="3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8" fillId="7" borderId="0" applyNumberFormat="0" applyBorder="0" applyAlignment="0" applyProtection="0"/>
    <xf numFmtId="0" fontId="31" fillId="11" borderId="1" applyNumberFormat="0" applyAlignment="0" applyProtection="0"/>
    <xf numFmtId="9" fontId="0" fillId="0" borderId="0" applyFont="0" applyFill="0" applyBorder="0" applyAlignment="0" applyProtection="0"/>
    <xf numFmtId="10" fontId="6" fillId="0" borderId="6">
      <alignment vertical="center"/>
      <protection/>
    </xf>
    <xf numFmtId="0" fontId="6" fillId="0" borderId="6" applyNumberFormat="0" applyFill="0">
      <alignment vertical="center"/>
      <protection/>
    </xf>
    <xf numFmtId="0" fontId="5" fillId="0" borderId="6" applyNumberFormat="0" applyFill="0">
      <alignment horizontal="left" vertical="center"/>
      <protection/>
    </xf>
    <xf numFmtId="0" fontId="17" fillId="0" borderId="6" applyNumberFormat="0" applyFill="0">
      <alignment horizontal="left" vertical="center"/>
      <protection/>
    </xf>
    <xf numFmtId="0" fontId="6" fillId="0" borderId="6">
      <alignment horizontal="left" vertical="center" wrapText="1"/>
      <protection/>
    </xf>
    <xf numFmtId="0" fontId="5" fillId="0" borderId="5">
      <alignment horizontal="center" vertical="center" textRotation="90" wrapText="1"/>
      <protection/>
    </xf>
    <xf numFmtId="0" fontId="9" fillId="0" borderId="6" applyNumberFormat="0" applyFill="0">
      <alignment horizontal="center" vertical="center"/>
      <protection/>
    </xf>
    <xf numFmtId="0" fontId="5" fillId="0" borderId="6" applyNumberFormat="0" applyFill="0">
      <alignment horizontal="center" vertical="center"/>
      <protection/>
    </xf>
    <xf numFmtId="0" fontId="14" fillId="0" borderId="6" applyNumberFormat="0">
      <alignment horizontal="center" vertical="center" textRotation="90" wrapText="1"/>
      <protection/>
    </xf>
    <xf numFmtId="164" fontId="6" fillId="18" borderId="6" applyFill="0">
      <alignment vertical="center"/>
      <protection locked="0"/>
    </xf>
    <xf numFmtId="164" fontId="6" fillId="0" borderId="6">
      <alignment vertical="center"/>
      <protection/>
    </xf>
    <xf numFmtId="0" fontId="5" fillId="0" borderId="0" applyNumberFormat="0" applyFont="0" applyFill="0" applyAlignment="0">
      <protection/>
    </xf>
    <xf numFmtId="0" fontId="5" fillId="0" borderId="6" applyNumberFormat="0" applyFont="0" applyFill="0" applyAlignment="0">
      <protection/>
    </xf>
  </cellStyleXfs>
  <cellXfs count="487">
    <xf numFmtId="0" fontId="0" fillId="0" borderId="0" xfId="0" applyAlignment="1">
      <alignment/>
    </xf>
    <xf numFmtId="0" fontId="5" fillId="0" borderId="6" xfId="73" applyFont="1" applyFill="1" applyBorder="1">
      <alignment horizontal="center" vertical="center"/>
      <protection/>
    </xf>
    <xf numFmtId="0" fontId="6" fillId="0" borderId="13" xfId="67" applyBorder="1">
      <alignment vertical="center"/>
      <protection/>
    </xf>
    <xf numFmtId="0" fontId="9" fillId="0" borderId="14" xfId="72" applyBorder="1">
      <alignment horizontal="center" vertical="center"/>
      <protection/>
    </xf>
    <xf numFmtId="0" fontId="9" fillId="0" borderId="15" xfId="72" applyBorder="1">
      <alignment horizontal="center" vertical="center"/>
      <protection/>
    </xf>
    <xf numFmtId="0" fontId="9" fillId="0" borderId="16" xfId="72" applyFill="1" applyBorder="1">
      <alignment horizontal="center" vertical="center"/>
      <protection/>
    </xf>
    <xf numFmtId="0" fontId="9" fillId="0" borderId="14" xfId="73" applyFont="1" applyFill="1" applyBorder="1">
      <alignment horizontal="center" vertical="center"/>
      <protection/>
    </xf>
    <xf numFmtId="0" fontId="5" fillId="0" borderId="17" xfId="73" applyFill="1" applyBorder="1">
      <alignment horizontal="center" vertical="center"/>
      <protection/>
    </xf>
    <xf numFmtId="0" fontId="6" fillId="0" borderId="18" xfId="67" applyFill="1" applyBorder="1">
      <alignment vertical="center"/>
      <protection/>
    </xf>
    <xf numFmtId="0" fontId="5" fillId="0" borderId="19" xfId="73" applyFill="1" applyBorder="1">
      <alignment horizontal="center" vertical="center"/>
      <protection/>
    </xf>
    <xf numFmtId="0" fontId="5" fillId="0" borderId="20" xfId="73" applyFill="1" applyBorder="1">
      <alignment horizontal="center" vertical="center"/>
      <protection/>
    </xf>
    <xf numFmtId="0" fontId="5" fillId="0" borderId="19" xfId="73" applyFont="1" applyFill="1" applyBorder="1">
      <alignment horizontal="center" vertical="center"/>
      <protection/>
    </xf>
    <xf numFmtId="0" fontId="5" fillId="0" borderId="21" xfId="73" applyFill="1" applyBorder="1">
      <alignment horizontal="center" vertical="center"/>
      <protection/>
    </xf>
    <xf numFmtId="0" fontId="9" fillId="0" borderId="14" xfId="72" applyFont="1" applyBorder="1">
      <alignment horizontal="center" vertical="center"/>
      <protection/>
    </xf>
    <xf numFmtId="0" fontId="5" fillId="0" borderId="22" xfId="73" applyFill="1" applyBorder="1">
      <alignment horizontal="center" vertical="center"/>
      <protection/>
    </xf>
    <xf numFmtId="0" fontId="6" fillId="0" borderId="23" xfId="67" applyFill="1" applyBorder="1">
      <alignment vertical="center"/>
      <protection/>
    </xf>
    <xf numFmtId="0" fontId="5" fillId="0" borderId="24" xfId="71" applyBorder="1">
      <alignment horizontal="center" vertical="center" textRotation="90" wrapText="1"/>
      <protection/>
    </xf>
    <xf numFmtId="0" fontId="5" fillId="0" borderId="25" xfId="71" applyBorder="1">
      <alignment horizontal="center" vertical="center" textRotation="90" wrapText="1"/>
      <protection/>
    </xf>
    <xf numFmtId="0" fontId="5" fillId="0" borderId="26" xfId="68" applyBorder="1">
      <alignment horizontal="left" vertical="center"/>
      <protection/>
    </xf>
    <xf numFmtId="0" fontId="5" fillId="0" borderId="27" xfId="73" applyBorder="1">
      <alignment horizontal="center" vertical="center"/>
      <protection/>
    </xf>
    <xf numFmtId="0" fontId="6" fillId="0" borderId="28" xfId="67" applyFont="1" applyFill="1" applyBorder="1">
      <alignment vertical="center"/>
      <protection/>
    </xf>
    <xf numFmtId="0" fontId="5" fillId="0" borderId="24" xfId="71" applyFont="1" applyBorder="1">
      <alignment horizontal="center" vertical="center" textRotation="90" wrapText="1"/>
      <protection/>
    </xf>
    <xf numFmtId="0" fontId="4" fillId="0" borderId="29" xfId="0" applyFont="1" applyFill="1" applyBorder="1" applyAlignment="1">
      <alignment horizontal="left"/>
    </xf>
    <xf numFmtId="0" fontId="6" fillId="0" borderId="23" xfId="67" applyFill="1" applyBorder="1" applyAlignment="1">
      <alignment horizontal="left" vertical="center" wrapText="1"/>
      <protection/>
    </xf>
    <xf numFmtId="0" fontId="5" fillId="0" borderId="30" xfId="71" applyBorder="1">
      <alignment horizontal="center" vertical="center" textRotation="90" wrapText="1"/>
      <protection/>
    </xf>
    <xf numFmtId="0" fontId="6" fillId="0" borderId="31" xfId="67" applyFill="1" applyBorder="1">
      <alignment vertical="center"/>
      <protection/>
    </xf>
    <xf numFmtId="0" fontId="5" fillId="0" borderId="32" xfId="73" applyFill="1" applyBorder="1">
      <alignment horizontal="center" vertical="center"/>
      <protection/>
    </xf>
    <xf numFmtId="0" fontId="10" fillId="0" borderId="33" xfId="73" applyFont="1" applyFill="1" applyBorder="1" applyAlignment="1">
      <alignment horizontal="center" vertical="center"/>
      <protection/>
    </xf>
    <xf numFmtId="0" fontId="10" fillId="0" borderId="34" xfId="68" applyFont="1" applyFill="1" applyBorder="1" applyAlignment="1">
      <alignment horizontal="center" vertical="center"/>
      <protection/>
    </xf>
    <xf numFmtId="0" fontId="6" fillId="0" borderId="33" xfId="67" applyFont="1" applyBorder="1" applyAlignment="1">
      <alignment horizontal="center" vertical="center"/>
      <protection/>
    </xf>
    <xf numFmtId="0" fontId="6" fillId="0" borderId="35" xfId="67" applyFont="1" applyBorder="1">
      <alignment vertical="center"/>
      <protection/>
    </xf>
    <xf numFmtId="0" fontId="5" fillId="0" borderId="35" xfId="73" applyFill="1" applyBorder="1">
      <alignment horizontal="center" vertical="center"/>
      <protection/>
    </xf>
    <xf numFmtId="0" fontId="6" fillId="0" borderId="35" xfId="67" applyFont="1" applyFill="1" applyBorder="1">
      <alignment vertical="center"/>
      <protection/>
    </xf>
    <xf numFmtId="0" fontId="6" fillId="0" borderId="33" xfId="67" applyFont="1" applyFill="1" applyBorder="1" applyAlignment="1">
      <alignment horizontal="center" vertical="center"/>
      <protection/>
    </xf>
    <xf numFmtId="0" fontId="6" fillId="0" borderId="33" xfId="67" applyFill="1" applyBorder="1" applyAlignment="1">
      <alignment horizontal="center" vertical="center"/>
      <protection/>
    </xf>
    <xf numFmtId="0" fontId="6" fillId="0" borderId="36" xfId="67" applyFont="1" applyFill="1" applyBorder="1" applyAlignment="1">
      <alignment horizontal="center" vertical="center"/>
      <protection/>
    </xf>
    <xf numFmtId="0" fontId="5" fillId="0" borderId="37" xfId="73" applyFill="1" applyBorder="1" applyAlignment="1">
      <alignment horizontal="center" vertical="center"/>
      <protection/>
    </xf>
    <xf numFmtId="0" fontId="5" fillId="0" borderId="35" xfId="73" applyFont="1" applyFill="1" applyBorder="1">
      <alignment horizontal="center" vertical="center"/>
      <protection/>
    </xf>
    <xf numFmtId="0" fontId="6" fillId="0" borderId="23" xfId="67" applyFont="1" applyFill="1" applyBorder="1">
      <alignment vertical="center"/>
      <protection/>
    </xf>
    <xf numFmtId="0" fontId="6" fillId="0" borderId="31" xfId="67" applyFont="1" applyFill="1" applyBorder="1">
      <alignment vertical="center"/>
      <protection/>
    </xf>
    <xf numFmtId="0" fontId="6" fillId="0" borderId="23" xfId="67" applyFont="1" applyFill="1" applyBorder="1" applyAlignment="1">
      <alignment horizontal="left" vertical="center" wrapText="1"/>
      <protection/>
    </xf>
    <xf numFmtId="0" fontId="6" fillId="0" borderId="18" xfId="67" applyFont="1" applyFill="1" applyBorder="1">
      <alignment vertical="center"/>
      <protection/>
    </xf>
    <xf numFmtId="0" fontId="5" fillId="0" borderId="38" xfId="73" applyFont="1" applyFill="1" applyBorder="1" applyAlignment="1">
      <alignment horizontal="centerContinuous" vertical="center"/>
      <protection/>
    </xf>
    <xf numFmtId="0" fontId="5" fillId="0" borderId="38" xfId="73" applyFill="1" applyBorder="1" applyAlignment="1">
      <alignment horizontal="centerContinuous" vertical="center"/>
      <protection/>
    </xf>
    <xf numFmtId="0" fontId="5" fillId="0" borderId="39" xfId="73" applyFill="1" applyBorder="1" applyAlignment="1">
      <alignment horizontal="centerContinuous" vertical="center"/>
      <protection/>
    </xf>
    <xf numFmtId="0" fontId="5" fillId="0" borderId="40" xfId="73" applyFont="1" applyFill="1" applyBorder="1" applyAlignment="1">
      <alignment horizontal="centerContinuous" vertical="center"/>
      <protection/>
    </xf>
    <xf numFmtId="0" fontId="5" fillId="0" borderId="41" xfId="73" applyFill="1" applyBorder="1" applyAlignment="1">
      <alignment horizontal="centerContinuous" vertical="center"/>
      <protection/>
    </xf>
    <xf numFmtId="0" fontId="5" fillId="0" borderId="42" xfId="73" applyFill="1" applyBorder="1" applyAlignment="1">
      <alignment horizontal="centerContinuous" vertical="center"/>
      <protection/>
    </xf>
    <xf numFmtId="0" fontId="9" fillId="0" borderId="23" xfId="67" applyFont="1" applyFill="1" applyBorder="1">
      <alignment vertical="center"/>
      <protection/>
    </xf>
    <xf numFmtId="3" fontId="7" fillId="0" borderId="43" xfId="40" applyNumberFormat="1" applyFill="1" applyBorder="1">
      <alignment vertical="center"/>
      <protection/>
    </xf>
    <xf numFmtId="0" fontId="5" fillId="0" borderId="44" xfId="73" applyFill="1" applyBorder="1">
      <alignment horizontal="center" vertical="center"/>
      <protection/>
    </xf>
    <xf numFmtId="0" fontId="6" fillId="0" borderId="45" xfId="67" applyFont="1" applyFill="1" applyBorder="1">
      <alignment vertical="center"/>
      <protection/>
    </xf>
    <xf numFmtId="3" fontId="7" fillId="0" borderId="6" xfId="40" applyNumberFormat="1" applyFill="1" applyBorder="1">
      <alignment vertical="center"/>
      <protection/>
    </xf>
    <xf numFmtId="3" fontId="6" fillId="0" borderId="6" xfId="46" applyNumberFormat="1" applyBorder="1">
      <alignment vertical="center"/>
      <protection locked="0"/>
    </xf>
    <xf numFmtId="3" fontId="7" fillId="0" borderId="33" xfId="40" applyNumberFormat="1" applyFill="1" applyBorder="1">
      <alignment vertical="center"/>
      <protection/>
    </xf>
    <xf numFmtId="3" fontId="7" fillId="0" borderId="46" xfId="40" applyNumberFormat="1" applyFill="1" applyBorder="1">
      <alignment vertical="center"/>
      <protection/>
    </xf>
    <xf numFmtId="3" fontId="7" fillId="0" borderId="47" xfId="40" applyNumberFormat="1" applyFill="1" applyBorder="1">
      <alignment vertical="center"/>
      <protection/>
    </xf>
    <xf numFmtId="3" fontId="6" fillId="0" borderId="6" xfId="46" applyNumberFormat="1" applyFont="1" applyBorder="1">
      <alignment vertical="center"/>
      <protection locked="0"/>
    </xf>
    <xf numFmtId="3" fontId="6" fillId="0" borderId="33" xfId="46" applyNumberFormat="1" applyFont="1" applyBorder="1">
      <alignment vertical="center"/>
      <protection locked="0"/>
    </xf>
    <xf numFmtId="3" fontId="0" fillId="0" borderId="0" xfId="0" applyNumberFormat="1" applyAlignment="1">
      <alignment/>
    </xf>
    <xf numFmtId="0" fontId="5" fillId="0" borderId="48" xfId="73" applyFont="1" applyFill="1" applyBorder="1">
      <alignment horizontal="center" vertical="center"/>
      <protection/>
    </xf>
    <xf numFmtId="0" fontId="5" fillId="0" borderId="49" xfId="73" applyFont="1" applyFill="1" applyBorder="1">
      <alignment horizontal="center" vertical="center"/>
      <protection/>
    </xf>
    <xf numFmtId="0" fontId="6" fillId="0" borderId="31" xfId="67" applyFont="1" applyFill="1" applyBorder="1" applyAlignment="1">
      <alignment vertical="center" wrapText="1"/>
      <protection/>
    </xf>
    <xf numFmtId="16" fontId="6" fillId="0" borderId="33" xfId="67" applyNumberFormat="1" applyFont="1" applyBorder="1" applyAlignment="1">
      <alignment horizontal="center" vertical="center"/>
      <protection/>
    </xf>
    <xf numFmtId="3" fontId="7" fillId="0" borderId="6" xfId="46" applyNumberFormat="1" applyFont="1" applyFill="1" applyBorder="1">
      <alignment vertical="center"/>
      <protection locked="0"/>
    </xf>
    <xf numFmtId="3" fontId="7" fillId="0" borderId="6" xfId="40" applyNumberFormat="1" applyFont="1" applyFill="1" applyBorder="1">
      <alignment vertical="center"/>
      <protection/>
    </xf>
    <xf numFmtId="3" fontId="6" fillId="0" borderId="50" xfId="46" applyNumberFormat="1" applyBorder="1">
      <alignment vertical="center"/>
      <protection locked="0"/>
    </xf>
    <xf numFmtId="0" fontId="5" fillId="0" borderId="51" xfId="73" applyFill="1" applyBorder="1">
      <alignment horizontal="center" vertical="center"/>
      <protection/>
    </xf>
    <xf numFmtId="0" fontId="6" fillId="0" borderId="52" xfId="67" applyFont="1" applyFill="1" applyBorder="1">
      <alignment vertical="center"/>
      <protection/>
    </xf>
    <xf numFmtId="3" fontId="7" fillId="0" borderId="53" xfId="40" applyNumberFormat="1" applyFill="1" applyBorder="1">
      <alignment vertical="center"/>
      <protection/>
    </xf>
    <xf numFmtId="3" fontId="7" fillId="0" borderId="54" xfId="40" applyNumberFormat="1" applyFill="1" applyBorder="1">
      <alignment vertical="center"/>
      <protection/>
    </xf>
    <xf numFmtId="0" fontId="9" fillId="0" borderId="31" xfId="67" applyFont="1" applyFill="1" applyBorder="1">
      <alignment vertical="center"/>
      <protection/>
    </xf>
    <xf numFmtId="3" fontId="9" fillId="0" borderId="33" xfId="46" applyNumberFormat="1" applyFont="1" applyBorder="1">
      <alignment vertical="center"/>
      <protection locked="0"/>
    </xf>
    <xf numFmtId="0" fontId="2" fillId="0" borderId="0" xfId="0" applyFont="1" applyAlignment="1">
      <alignment/>
    </xf>
    <xf numFmtId="0" fontId="9" fillId="0" borderId="28" xfId="67" applyFont="1" applyFill="1" applyBorder="1">
      <alignment vertical="center"/>
      <protection/>
    </xf>
    <xf numFmtId="0" fontId="9" fillId="0" borderId="27" xfId="67" applyFont="1" applyFill="1" applyBorder="1">
      <alignment vertical="center"/>
      <protection/>
    </xf>
    <xf numFmtId="3" fontId="9" fillId="0" borderId="6" xfId="46" applyNumberFormat="1" applyFont="1" applyBorder="1">
      <alignment vertical="center"/>
      <protection locked="0"/>
    </xf>
    <xf numFmtId="3" fontId="9" fillId="0" borderId="50" xfId="46" applyNumberFormat="1" applyFont="1" applyBorder="1">
      <alignment vertical="center"/>
      <protection locked="0"/>
    </xf>
    <xf numFmtId="0" fontId="5" fillId="0" borderId="41" xfId="73" applyFont="1" applyFill="1" applyBorder="1" applyAlignment="1">
      <alignment horizontal="centerContinuous" vertical="center"/>
      <protection/>
    </xf>
    <xf numFmtId="0" fontId="5" fillId="0" borderId="55" xfId="73" applyFill="1" applyBorder="1">
      <alignment horizontal="center" vertical="center"/>
      <protection/>
    </xf>
    <xf numFmtId="0" fontId="5" fillId="0" borderId="56" xfId="73" applyFill="1" applyBorder="1">
      <alignment horizontal="center" vertical="center"/>
      <protection/>
    </xf>
    <xf numFmtId="3" fontId="9" fillId="0" borderId="55" xfId="46" applyNumberFormat="1" applyFont="1" applyBorder="1">
      <alignment vertical="center"/>
      <protection locked="0"/>
    </xf>
    <xf numFmtId="3" fontId="9" fillId="0" borderId="19" xfId="46" applyNumberFormat="1" applyFont="1" applyBorder="1">
      <alignment vertical="center"/>
      <protection locked="0"/>
    </xf>
    <xf numFmtId="3" fontId="9" fillId="0" borderId="20" xfId="46" applyNumberFormat="1" applyFont="1" applyBorder="1">
      <alignment vertical="center"/>
      <protection locked="0"/>
    </xf>
    <xf numFmtId="0" fontId="6" fillId="0" borderId="6" xfId="73" applyFont="1" applyFill="1" applyBorder="1" applyAlignment="1">
      <alignment horizontal="left" vertical="center"/>
      <protection/>
    </xf>
    <xf numFmtId="16" fontId="6" fillId="0" borderId="57" xfId="73" applyNumberFormat="1" applyFont="1" applyFill="1" applyBorder="1" applyAlignment="1">
      <alignment horizontal="center" vertical="center"/>
      <protection/>
    </xf>
    <xf numFmtId="3" fontId="7" fillId="0" borderId="6" xfId="46" applyNumberFormat="1" applyFont="1" applyBorder="1">
      <alignment vertical="center"/>
      <protection locked="0"/>
    </xf>
    <xf numFmtId="16" fontId="6" fillId="0" borderId="33" xfId="67" applyNumberFormat="1" applyFont="1" applyFill="1" applyBorder="1" applyAlignment="1">
      <alignment horizontal="center" vertical="center"/>
      <protection/>
    </xf>
    <xf numFmtId="0" fontId="6" fillId="0" borderId="33" xfId="67" applyFont="1" applyFill="1" applyBorder="1" applyAlignment="1">
      <alignment horizontal="center" vertical="center" wrapText="1"/>
      <protection/>
    </xf>
    <xf numFmtId="0" fontId="6" fillId="0" borderId="58" xfId="67" applyFont="1" applyFill="1" applyBorder="1">
      <alignment vertical="center"/>
      <protection/>
    </xf>
    <xf numFmtId="3" fontId="9" fillId="0" borderId="59" xfId="46" applyNumberFormat="1" applyFont="1" applyBorder="1">
      <alignment vertical="center"/>
      <protection locked="0"/>
    </xf>
    <xf numFmtId="3" fontId="9" fillId="0" borderId="60" xfId="46" applyNumberFormat="1" applyFont="1" applyBorder="1">
      <alignment vertical="center"/>
      <protection locked="0"/>
    </xf>
    <xf numFmtId="3" fontId="6" fillId="0" borderId="50" xfId="46" applyNumberFormat="1" applyFont="1" applyBorder="1">
      <alignment vertical="center"/>
      <protection locked="0"/>
    </xf>
    <xf numFmtId="3" fontId="6" fillId="0" borderId="6" xfId="46" applyNumberFormat="1" applyFont="1" applyBorder="1">
      <alignment vertical="center"/>
      <protection locked="0"/>
    </xf>
    <xf numFmtId="3" fontId="7" fillId="0" borderId="19" xfId="46" applyNumberFormat="1" applyFont="1" applyBorder="1">
      <alignment vertical="center"/>
      <protection locked="0"/>
    </xf>
    <xf numFmtId="3" fontId="9" fillId="0" borderId="61" xfId="46" applyNumberFormat="1" applyFont="1" applyBorder="1">
      <alignment vertical="center"/>
      <protection locked="0"/>
    </xf>
    <xf numFmtId="3" fontId="9" fillId="0" borderId="62" xfId="46" applyNumberFormat="1" applyFont="1" applyBorder="1">
      <alignment vertical="center"/>
      <protection locked="0"/>
    </xf>
    <xf numFmtId="3" fontId="9" fillId="0" borderId="63" xfId="46" applyNumberFormat="1" applyFont="1" applyBorder="1">
      <alignment vertical="center"/>
      <protection locked="0"/>
    </xf>
    <xf numFmtId="0" fontId="12" fillId="0" borderId="6" xfId="73" applyFont="1" applyFill="1" applyBorder="1">
      <alignment horizontal="center" vertical="center"/>
      <protection/>
    </xf>
    <xf numFmtId="1" fontId="7" fillId="0" borderId="64" xfId="40" applyFont="1" applyFill="1" applyBorder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3" xfId="67" applyFont="1" applyFill="1" applyBorder="1">
      <alignment vertical="center"/>
      <protection/>
    </xf>
    <xf numFmtId="0" fontId="3" fillId="0" borderId="0" xfId="0" applyFont="1" applyAlignment="1">
      <alignment/>
    </xf>
    <xf numFmtId="0" fontId="19" fillId="0" borderId="23" xfId="67" applyFont="1" applyFill="1" applyBorder="1">
      <alignment vertical="center"/>
      <protection/>
    </xf>
    <xf numFmtId="0" fontId="3" fillId="0" borderId="0" xfId="0" applyFont="1" applyAlignment="1">
      <alignment/>
    </xf>
    <xf numFmtId="3" fontId="13" fillId="0" borderId="65" xfId="40" applyNumberFormat="1" applyFont="1" applyFill="1" applyBorder="1">
      <alignment vertical="center"/>
      <protection/>
    </xf>
    <xf numFmtId="0" fontId="6" fillId="0" borderId="66" xfId="67" applyFont="1" applyFill="1" applyBorder="1">
      <alignment vertical="center"/>
      <protection/>
    </xf>
    <xf numFmtId="0" fontId="5" fillId="0" borderId="22" xfId="73" applyFill="1" applyBorder="1" applyAlignment="1">
      <alignment horizontal="center" vertical="center"/>
      <protection/>
    </xf>
    <xf numFmtId="0" fontId="5" fillId="0" borderId="24" xfId="71" applyBorder="1" applyAlignment="1">
      <alignment horizontal="center" vertical="center" textRotation="90" wrapText="1"/>
      <protection/>
    </xf>
    <xf numFmtId="0" fontId="5" fillId="0" borderId="30" xfId="71" applyBorder="1" applyAlignment="1">
      <alignment horizontal="center" vertical="center" textRotation="90" wrapText="1"/>
      <protection/>
    </xf>
    <xf numFmtId="0" fontId="0" fillId="0" borderId="0" xfId="0" applyAlignment="1">
      <alignment horizontal="center" vertical="center"/>
    </xf>
    <xf numFmtId="0" fontId="9" fillId="0" borderId="67" xfId="72" applyBorder="1">
      <alignment horizontal="center" vertical="center"/>
      <protection/>
    </xf>
    <xf numFmtId="0" fontId="6" fillId="0" borderId="68" xfId="67" applyFont="1" applyBorder="1">
      <alignment vertical="center"/>
      <protection/>
    </xf>
    <xf numFmtId="0" fontId="9" fillId="0" borderId="69" xfId="72" applyFont="1" applyBorder="1">
      <alignment horizontal="center" vertical="center"/>
      <protection/>
    </xf>
    <xf numFmtId="0" fontId="6" fillId="0" borderId="70" xfId="67" applyFont="1" applyBorder="1">
      <alignment vertical="center"/>
      <protection/>
    </xf>
    <xf numFmtId="0" fontId="6" fillId="0" borderId="71" xfId="67" applyBorder="1">
      <alignment vertical="center"/>
      <protection/>
    </xf>
    <xf numFmtId="0" fontId="0" fillId="0" borderId="0" xfId="0" applyFont="1" applyAlignment="1">
      <alignment/>
    </xf>
    <xf numFmtId="3" fontId="7" fillId="0" borderId="33" xfId="46" applyNumberFormat="1" applyFont="1" applyFill="1" applyBorder="1">
      <alignment vertical="center"/>
      <protection locked="0"/>
    </xf>
    <xf numFmtId="3" fontId="6" fillId="0" borderId="63" xfId="46" applyNumberFormat="1" applyFont="1" applyBorder="1">
      <alignment vertical="center"/>
      <protection locked="0"/>
    </xf>
    <xf numFmtId="3" fontId="7" fillId="0" borderId="50" xfId="46" applyNumberFormat="1" applyFont="1" applyFill="1" applyBorder="1">
      <alignment vertical="center"/>
      <protection locked="0"/>
    </xf>
    <xf numFmtId="0" fontId="9" fillId="0" borderId="72" xfId="67" applyFont="1" applyFill="1" applyBorder="1">
      <alignment vertical="center"/>
      <protection/>
    </xf>
    <xf numFmtId="16" fontId="6" fillId="0" borderId="33" xfId="67" applyNumberFormat="1" applyFont="1" applyFill="1" applyBorder="1" applyAlignment="1">
      <alignment horizontal="center" vertical="center" wrapText="1"/>
      <protection/>
    </xf>
    <xf numFmtId="0" fontId="5" fillId="0" borderId="73" xfId="73" applyFont="1" applyFill="1" applyBorder="1">
      <alignment horizontal="center" vertical="center"/>
      <protection/>
    </xf>
    <xf numFmtId="3" fontId="6" fillId="0" borderId="6" xfId="46" applyNumberFormat="1" applyFill="1" applyBorder="1">
      <alignment vertical="center"/>
      <protection locked="0"/>
    </xf>
    <xf numFmtId="0" fontId="0" fillId="0" borderId="0" xfId="0" applyFont="1" applyFill="1" applyAlignment="1">
      <alignment/>
    </xf>
    <xf numFmtId="3" fontId="7" fillId="0" borderId="74" xfId="46" applyNumberFormat="1" applyFont="1" applyFill="1" applyBorder="1">
      <alignment vertical="center"/>
      <protection locked="0"/>
    </xf>
    <xf numFmtId="3" fontId="7" fillId="0" borderId="75" xfId="46" applyNumberFormat="1" applyFont="1" applyFill="1" applyBorder="1">
      <alignment vertical="center"/>
      <protection locked="0"/>
    </xf>
    <xf numFmtId="3" fontId="7" fillId="0" borderId="76" xfId="46" applyNumberFormat="1" applyFont="1" applyFill="1" applyBorder="1">
      <alignment vertical="center"/>
      <protection locked="0"/>
    </xf>
    <xf numFmtId="3" fontId="7" fillId="0" borderId="77" xfId="46" applyNumberFormat="1" applyFont="1" applyFill="1" applyBorder="1">
      <alignment vertical="center"/>
      <protection locked="0"/>
    </xf>
    <xf numFmtId="3" fontId="7" fillId="0" borderId="78" xfId="46" applyNumberFormat="1" applyFont="1" applyFill="1" applyBorder="1">
      <alignment vertical="center"/>
      <protection locked="0"/>
    </xf>
    <xf numFmtId="0" fontId="0" fillId="0" borderId="0" xfId="0" applyFill="1" applyAlignment="1">
      <alignment/>
    </xf>
    <xf numFmtId="0" fontId="5" fillId="0" borderId="24" xfId="71" applyFill="1" applyBorder="1">
      <alignment horizontal="center" vertical="center" textRotation="90" wrapText="1"/>
      <protection/>
    </xf>
    <xf numFmtId="0" fontId="5" fillId="0" borderId="24" xfId="71" applyFont="1" applyFill="1" applyBorder="1">
      <alignment horizontal="center" vertical="center" textRotation="90" wrapText="1"/>
      <protection/>
    </xf>
    <xf numFmtId="3" fontId="6" fillId="0" borderId="6" xfId="46" applyNumberFormat="1" applyFont="1" applyFill="1" applyBorder="1">
      <alignment vertical="center"/>
      <protection locked="0"/>
    </xf>
    <xf numFmtId="3" fontId="9" fillId="0" borderId="50" xfId="46" applyNumberFormat="1" applyFont="1" applyFill="1" applyBorder="1">
      <alignment vertical="center"/>
      <protection locked="0"/>
    </xf>
    <xf numFmtId="3" fontId="9" fillId="0" borderId="6" xfId="46" applyNumberFormat="1" applyFont="1" applyFill="1" applyBorder="1">
      <alignment vertical="center"/>
      <protection locked="0"/>
    </xf>
    <xf numFmtId="3" fontId="13" fillId="0" borderId="6" xfId="46" applyNumberFormat="1" applyFont="1" applyFill="1" applyBorder="1">
      <alignment vertical="center"/>
      <protection locked="0"/>
    </xf>
    <xf numFmtId="3" fontId="7" fillId="0" borderId="79" xfId="46" applyNumberFormat="1" applyFont="1" applyFill="1" applyBorder="1">
      <alignment vertical="center"/>
      <protection locked="0"/>
    </xf>
    <xf numFmtId="3" fontId="7" fillId="0" borderId="80" xfId="46" applyNumberFormat="1" applyFont="1" applyFill="1" applyBorder="1">
      <alignment vertical="center"/>
      <protection locked="0"/>
    </xf>
    <xf numFmtId="3" fontId="13" fillId="0" borderId="33" xfId="46" applyNumberFormat="1" applyFont="1" applyFill="1" applyBorder="1">
      <alignment vertical="center"/>
      <protection locked="0"/>
    </xf>
    <xf numFmtId="0" fontId="9" fillId="0" borderId="81" xfId="72" applyBorder="1">
      <alignment horizontal="center" vertical="center"/>
      <protection/>
    </xf>
    <xf numFmtId="0" fontId="6" fillId="0" borderId="82" xfId="67" applyFont="1" applyBorder="1" applyAlignment="1">
      <alignment horizontal="center" vertical="center"/>
      <protection/>
    </xf>
    <xf numFmtId="3" fontId="7" fillId="0" borderId="35" xfId="46" applyNumberFormat="1" applyFont="1" applyBorder="1">
      <alignment vertical="center"/>
      <protection locked="0"/>
    </xf>
    <xf numFmtId="0" fontId="9" fillId="0" borderId="0" xfId="72" applyBorder="1">
      <alignment horizontal="center" vertical="center"/>
      <protection/>
    </xf>
    <xf numFmtId="0" fontId="7" fillId="0" borderId="83" xfId="73" applyFont="1" applyFill="1" applyBorder="1" applyAlignment="1">
      <alignment horizontal="left" vertical="center"/>
      <protection/>
    </xf>
    <xf numFmtId="0" fontId="5" fillId="0" borderId="84" xfId="73" applyFill="1" applyBorder="1" applyAlignment="1">
      <alignment horizontal="center" vertical="center"/>
      <protection/>
    </xf>
    <xf numFmtId="3" fontId="7" fillId="0" borderId="85" xfId="40" applyNumberFormat="1" applyFont="1" applyFill="1" applyBorder="1">
      <alignment vertical="center"/>
      <protection/>
    </xf>
    <xf numFmtId="0" fontId="5" fillId="0" borderId="86" xfId="73" applyFill="1" applyBorder="1" applyAlignment="1">
      <alignment horizontal="center" vertical="center"/>
      <protection/>
    </xf>
    <xf numFmtId="0" fontId="6" fillId="0" borderId="45" xfId="67" applyFont="1" applyFill="1" applyBorder="1">
      <alignment vertical="center"/>
      <protection/>
    </xf>
    <xf numFmtId="3" fontId="13" fillId="0" borderId="33" xfId="40" applyNumberFormat="1" applyFont="1" applyFill="1" applyBorder="1">
      <alignment vertical="center"/>
      <protection/>
    </xf>
    <xf numFmtId="3" fontId="19" fillId="0" borderId="87" xfId="46" applyNumberFormat="1" applyFont="1" applyFill="1" applyBorder="1">
      <alignment vertical="center"/>
      <protection locked="0"/>
    </xf>
    <xf numFmtId="3" fontId="13" fillId="0" borderId="88" xfId="46" applyNumberFormat="1" applyFont="1" applyFill="1" applyBorder="1">
      <alignment vertical="center"/>
      <protection locked="0"/>
    </xf>
    <xf numFmtId="0" fontId="6" fillId="0" borderId="89" xfId="67" applyFont="1" applyBorder="1" applyAlignment="1">
      <alignment horizontal="center" vertical="center"/>
      <protection/>
    </xf>
    <xf numFmtId="3" fontId="7" fillId="0" borderId="90" xfId="46" applyNumberFormat="1" applyFont="1" applyFill="1" applyBorder="1">
      <alignment vertical="center"/>
      <protection locked="0"/>
    </xf>
    <xf numFmtId="0" fontId="9" fillId="0" borderId="48" xfId="67" applyFont="1" applyFill="1" applyBorder="1" applyAlignment="1">
      <alignment horizontal="center" vertical="center"/>
      <protection/>
    </xf>
    <xf numFmtId="0" fontId="6" fillId="0" borderId="14" xfId="67" applyFont="1" applyFill="1" applyBorder="1">
      <alignment vertical="center"/>
      <protection/>
    </xf>
    <xf numFmtId="3" fontId="7" fillId="0" borderId="91" xfId="46" applyNumberFormat="1" applyFont="1" applyFill="1" applyBorder="1">
      <alignment vertical="center"/>
      <protection locked="0"/>
    </xf>
    <xf numFmtId="3" fontId="7" fillId="0" borderId="92" xfId="46" applyNumberFormat="1" applyFont="1" applyFill="1" applyBorder="1">
      <alignment vertical="center"/>
      <protection locked="0"/>
    </xf>
    <xf numFmtId="3" fontId="7" fillId="0" borderId="93" xfId="46" applyNumberFormat="1" applyFont="1" applyFill="1" applyBorder="1">
      <alignment vertical="center"/>
      <protection locked="0"/>
    </xf>
    <xf numFmtId="3" fontId="13" fillId="0" borderId="65" xfId="46" applyNumberFormat="1" applyFont="1" applyFill="1" applyBorder="1">
      <alignment vertical="center"/>
      <protection locked="0"/>
    </xf>
    <xf numFmtId="0" fontId="7" fillId="0" borderId="23" xfId="67" applyFont="1" applyFill="1" applyBorder="1">
      <alignment vertical="center"/>
      <protection/>
    </xf>
    <xf numFmtId="49" fontId="9" fillId="0" borderId="94" xfId="67" applyNumberFormat="1" applyFont="1" applyFill="1" applyBorder="1">
      <alignment vertical="center"/>
      <protection/>
    </xf>
    <xf numFmtId="0" fontId="9" fillId="0" borderId="95" xfId="67" applyFont="1" applyFill="1" applyBorder="1">
      <alignment vertical="center"/>
      <protection/>
    </xf>
    <xf numFmtId="0" fontId="0" fillId="0" borderId="96" xfId="0" applyBorder="1" applyAlignment="1">
      <alignment horizontal="center" vertical="center"/>
    </xf>
    <xf numFmtId="0" fontId="5" fillId="0" borderId="68" xfId="73" applyFont="1" applyBorder="1" applyAlignment="1">
      <alignment horizontal="center" vertical="center"/>
      <protection/>
    </xf>
    <xf numFmtId="0" fontId="6" fillId="0" borderId="89" xfId="67" applyBorder="1" applyAlignment="1">
      <alignment horizontal="center" vertical="center"/>
      <protection/>
    </xf>
    <xf numFmtId="0" fontId="9" fillId="0" borderId="95" xfId="72" applyBorder="1">
      <alignment horizontal="center" vertical="center"/>
      <protection/>
    </xf>
    <xf numFmtId="0" fontId="6" fillId="0" borderId="97" xfId="67" applyFont="1" applyBorder="1">
      <alignment vertical="center"/>
      <protection/>
    </xf>
    <xf numFmtId="0" fontId="6" fillId="0" borderId="98" xfId="67" applyFont="1" applyBorder="1" applyAlignment="1">
      <alignment horizontal="center" vertical="center"/>
      <protection/>
    </xf>
    <xf numFmtId="0" fontId="6" fillId="0" borderId="83" xfId="67" applyFont="1" applyBorder="1">
      <alignment vertical="center"/>
      <protection/>
    </xf>
    <xf numFmtId="0" fontId="6" fillId="0" borderId="99" xfId="67" applyBorder="1">
      <alignment vertical="center"/>
      <protection/>
    </xf>
    <xf numFmtId="0" fontId="9" fillId="0" borderId="100" xfId="72" applyBorder="1">
      <alignment horizontal="center" vertical="center"/>
      <protection/>
    </xf>
    <xf numFmtId="0" fontId="5" fillId="0" borderId="101" xfId="73" applyBorder="1" applyAlignment="1">
      <alignment horizontal="center" vertical="center"/>
      <protection/>
    </xf>
    <xf numFmtId="0" fontId="5" fillId="0" borderId="68" xfId="67" applyFont="1" applyBorder="1" applyAlignment="1">
      <alignment horizontal="center" vertical="center"/>
      <protection/>
    </xf>
    <xf numFmtId="0" fontId="6" fillId="0" borderId="97" xfId="67" applyFont="1" applyFill="1" applyBorder="1">
      <alignment vertical="center"/>
      <protection/>
    </xf>
    <xf numFmtId="0" fontId="6" fillId="0" borderId="98" xfId="67" applyFill="1" applyBorder="1" applyAlignment="1">
      <alignment horizontal="center" vertical="center"/>
      <protection/>
    </xf>
    <xf numFmtId="3" fontId="7" fillId="0" borderId="102" xfId="40" applyNumberFormat="1" applyFont="1" applyFill="1" applyBorder="1">
      <alignment vertical="center"/>
      <protection/>
    </xf>
    <xf numFmtId="0" fontId="9" fillId="0" borderId="31" xfId="67" applyFont="1" applyFill="1" applyBorder="1">
      <alignment vertical="center"/>
      <protection/>
    </xf>
    <xf numFmtId="0" fontId="5" fillId="0" borderId="103" xfId="68" applyFont="1" applyFill="1" applyBorder="1">
      <alignment horizontal="left" vertical="center"/>
      <protection/>
    </xf>
    <xf numFmtId="0" fontId="5" fillId="0" borderId="103" xfId="73" applyFont="1" applyFill="1" applyBorder="1" applyAlignment="1">
      <alignment horizontal="left" vertical="center"/>
      <protection/>
    </xf>
    <xf numFmtId="0" fontId="5" fillId="0" borderId="104" xfId="68" applyFont="1" applyBorder="1">
      <alignment horizontal="left" vertical="center"/>
      <protection/>
    </xf>
    <xf numFmtId="0" fontId="5" fillId="0" borderId="105" xfId="73" applyFont="1" applyFill="1" applyBorder="1" applyAlignment="1">
      <alignment horizontal="left" vertical="center"/>
      <protection/>
    </xf>
    <xf numFmtId="3" fontId="0" fillId="0" borderId="0" xfId="0" applyNumberFormat="1" applyFont="1" applyAlignment="1">
      <alignment/>
    </xf>
    <xf numFmtId="3" fontId="6" fillId="0" borderId="33" xfId="46" applyNumberFormat="1" applyFill="1" applyBorder="1">
      <alignment vertical="center"/>
      <protection locked="0"/>
    </xf>
    <xf numFmtId="0" fontId="6" fillId="0" borderId="23" xfId="67" applyFont="1" applyFill="1" applyBorder="1" applyAlignment="1">
      <alignment vertical="center" wrapText="1"/>
      <protection/>
    </xf>
    <xf numFmtId="0" fontId="2" fillId="0" borderId="0" xfId="0" applyFont="1" applyFill="1" applyAlignment="1">
      <alignment/>
    </xf>
    <xf numFmtId="3" fontId="7" fillId="0" borderId="106" xfId="40" applyNumberFormat="1" applyFill="1" applyBorder="1">
      <alignment vertical="center"/>
      <protection/>
    </xf>
    <xf numFmtId="3" fontId="18" fillId="0" borderId="6" xfId="46" applyNumberFormat="1" applyFont="1" applyFill="1" applyBorder="1">
      <alignment vertical="center"/>
      <protection locked="0"/>
    </xf>
    <xf numFmtId="3" fontId="0" fillId="0" borderId="0" xfId="0" applyNumberFormat="1" applyFill="1" applyAlignment="1">
      <alignment/>
    </xf>
    <xf numFmtId="0" fontId="6" fillId="0" borderId="14" xfId="67" applyFill="1" applyBorder="1">
      <alignment vertical="center"/>
      <protection/>
    </xf>
    <xf numFmtId="3" fontId="9" fillId="0" borderId="33" xfId="46" applyNumberFormat="1" applyFont="1" applyFill="1" applyBorder="1">
      <alignment vertical="center"/>
      <protection locked="0"/>
    </xf>
    <xf numFmtId="3" fontId="9" fillId="0" borderId="80" xfId="46" applyNumberFormat="1" applyFont="1" applyFill="1" applyBorder="1">
      <alignment vertical="center"/>
      <protection locked="0"/>
    </xf>
    <xf numFmtId="3" fontId="6" fillId="0" borderId="33" xfId="46" applyNumberFormat="1" applyFont="1" applyFill="1" applyBorder="1">
      <alignment vertical="center"/>
      <protection locked="0"/>
    </xf>
    <xf numFmtId="0" fontId="0" fillId="0" borderId="0" xfId="0" applyFont="1" applyFill="1" applyAlignment="1">
      <alignment/>
    </xf>
    <xf numFmtId="0" fontId="9" fillId="0" borderId="23" xfId="67" applyFont="1" applyFill="1" applyBorder="1">
      <alignment vertical="center"/>
      <protection/>
    </xf>
    <xf numFmtId="0" fontId="9" fillId="0" borderId="107" xfId="73" applyFont="1" applyFill="1" applyBorder="1" applyAlignment="1">
      <alignment horizontal="left" vertical="center"/>
      <protection/>
    </xf>
    <xf numFmtId="0" fontId="4" fillId="0" borderId="29" xfId="0" applyFont="1" applyFill="1" applyBorder="1" applyAlignment="1">
      <alignment horizontal="left"/>
    </xf>
    <xf numFmtId="0" fontId="6" fillId="0" borderId="108" xfId="67" applyFont="1" applyFill="1" applyBorder="1">
      <alignment vertical="center"/>
      <protection/>
    </xf>
    <xf numFmtId="3" fontId="6" fillId="0" borderId="89" xfId="46" applyNumberFormat="1" applyFill="1" applyBorder="1">
      <alignment vertical="center"/>
      <protection locked="0"/>
    </xf>
    <xf numFmtId="0" fontId="6" fillId="0" borderId="109" xfId="67" applyFont="1" applyFill="1" applyBorder="1">
      <alignment vertical="center"/>
      <protection/>
    </xf>
    <xf numFmtId="3" fontId="6" fillId="0" borderId="110" xfId="46" applyNumberFormat="1" applyFill="1" applyBorder="1">
      <alignment vertical="center"/>
      <protection locked="0"/>
    </xf>
    <xf numFmtId="0" fontId="6" fillId="0" borderId="111" xfId="67" applyFont="1" applyFill="1" applyBorder="1">
      <alignment vertical="center"/>
      <protection/>
    </xf>
    <xf numFmtId="3" fontId="6" fillId="0" borderId="98" xfId="46" applyNumberFormat="1" applyFill="1" applyBorder="1">
      <alignment vertical="center"/>
      <protection locked="0"/>
    </xf>
    <xf numFmtId="0" fontId="5" fillId="0" borderId="112" xfId="73" applyFont="1" applyFill="1" applyBorder="1">
      <alignment horizontal="center" vertical="center"/>
      <protection/>
    </xf>
    <xf numFmtId="0" fontId="6" fillId="0" borderId="113" xfId="67" applyFont="1" applyFill="1" applyBorder="1">
      <alignment vertical="center"/>
      <protection/>
    </xf>
    <xf numFmtId="3" fontId="6" fillId="0" borderId="114" xfId="46" applyNumberFormat="1" applyFill="1" applyBorder="1">
      <alignment vertical="center"/>
      <protection locked="0"/>
    </xf>
    <xf numFmtId="3" fontId="13" fillId="0" borderId="74" xfId="46" applyNumberFormat="1" applyFont="1" applyFill="1" applyBorder="1">
      <alignment vertical="center"/>
      <protection locked="0"/>
    </xf>
    <xf numFmtId="0" fontId="9" fillId="0" borderId="115" xfId="67" applyFont="1" applyFill="1" applyBorder="1">
      <alignment vertical="center"/>
      <protection/>
    </xf>
    <xf numFmtId="0" fontId="9" fillId="0" borderId="116" xfId="67" applyFont="1" applyFill="1" applyBorder="1">
      <alignment vertical="center"/>
      <protection/>
    </xf>
    <xf numFmtId="3" fontId="13" fillId="0" borderId="117" xfId="40" applyNumberFormat="1" applyFont="1" applyFill="1" applyBorder="1">
      <alignment vertical="center"/>
      <protection/>
    </xf>
    <xf numFmtId="0" fontId="9" fillId="0" borderId="116" xfId="67" applyFont="1" applyFill="1" applyBorder="1">
      <alignment vertical="center"/>
      <protection/>
    </xf>
    <xf numFmtId="3" fontId="9" fillId="0" borderId="82" xfId="46" applyNumberFormat="1" applyFont="1" applyFill="1" applyBorder="1">
      <alignment vertical="center"/>
      <protection locked="0"/>
    </xf>
    <xf numFmtId="0" fontId="0" fillId="0" borderId="0" xfId="58">
      <alignment/>
      <protection/>
    </xf>
    <xf numFmtId="0" fontId="0" fillId="0" borderId="0" xfId="58" applyFill="1">
      <alignment/>
      <protection/>
    </xf>
    <xf numFmtId="0" fontId="2" fillId="0" borderId="0" xfId="58" applyFont="1" applyFill="1">
      <alignment/>
      <protection/>
    </xf>
    <xf numFmtId="0" fontId="5" fillId="0" borderId="15" xfId="73" applyFont="1" applyFill="1" applyBorder="1">
      <alignment horizontal="center" vertical="center"/>
      <protection/>
    </xf>
    <xf numFmtId="3" fontId="9" fillId="0" borderId="118" xfId="46" applyNumberFormat="1" applyFont="1" applyBorder="1">
      <alignment vertical="center"/>
      <protection locked="0"/>
    </xf>
    <xf numFmtId="3" fontId="9" fillId="0" borderId="35" xfId="46" applyNumberFormat="1" applyFont="1" applyBorder="1">
      <alignment vertical="center"/>
      <protection locked="0"/>
    </xf>
    <xf numFmtId="3" fontId="6" fillId="0" borderId="35" xfId="46" applyNumberFormat="1" applyBorder="1">
      <alignment vertical="center"/>
      <protection locked="0"/>
    </xf>
    <xf numFmtId="3" fontId="7" fillId="0" borderId="119" xfId="46" applyNumberFormat="1" applyFont="1" applyFill="1" applyBorder="1">
      <alignment vertical="center"/>
      <protection locked="0"/>
    </xf>
    <xf numFmtId="3" fontId="7" fillId="0" borderId="120" xfId="46" applyNumberFormat="1" applyFont="1" applyFill="1" applyBorder="1">
      <alignment vertical="center"/>
      <protection locked="0"/>
    </xf>
    <xf numFmtId="0" fontId="12" fillId="0" borderId="121" xfId="73" applyFont="1" applyFill="1" applyBorder="1">
      <alignment horizontal="center" vertical="center"/>
      <protection/>
    </xf>
    <xf numFmtId="3" fontId="13" fillId="0" borderId="122" xfId="40" applyNumberFormat="1" applyFont="1" applyFill="1" applyBorder="1">
      <alignment vertical="center"/>
      <protection/>
    </xf>
    <xf numFmtId="3" fontId="7" fillId="0" borderId="123" xfId="46" applyNumberFormat="1" applyFont="1" applyFill="1" applyBorder="1">
      <alignment vertical="center"/>
      <protection locked="0"/>
    </xf>
    <xf numFmtId="0" fontId="5" fillId="0" borderId="124" xfId="73" applyFont="1" applyFill="1" applyBorder="1">
      <alignment horizontal="center" vertical="center"/>
      <protection/>
    </xf>
    <xf numFmtId="3" fontId="13" fillId="0" borderId="125" xfId="40" applyNumberFormat="1" applyFont="1" applyFill="1" applyBorder="1">
      <alignment vertical="center"/>
      <protection/>
    </xf>
    <xf numFmtId="3" fontId="13" fillId="0" borderId="119" xfId="46" applyNumberFormat="1" applyFont="1" applyFill="1" applyBorder="1">
      <alignment vertical="center"/>
      <protection locked="0"/>
    </xf>
    <xf numFmtId="3" fontId="13" fillId="0" borderId="126" xfId="40" applyNumberFormat="1" applyFont="1" applyFill="1" applyBorder="1">
      <alignment vertical="center"/>
      <protection/>
    </xf>
    <xf numFmtId="3" fontId="7" fillId="0" borderId="127" xfId="46" applyNumberFormat="1" applyFont="1" applyFill="1" applyBorder="1">
      <alignment vertical="center"/>
      <protection locked="0"/>
    </xf>
    <xf numFmtId="3" fontId="7" fillId="0" borderId="128" xfId="46" applyNumberFormat="1" applyFont="1" applyFill="1" applyBorder="1">
      <alignment vertical="center"/>
      <protection locked="0"/>
    </xf>
    <xf numFmtId="3" fontId="6" fillId="0" borderId="127" xfId="46" applyNumberFormat="1" applyFill="1" applyBorder="1">
      <alignment vertical="center"/>
      <protection locked="0"/>
    </xf>
    <xf numFmtId="3" fontId="13" fillId="0" borderId="127" xfId="46" applyNumberFormat="1" applyFont="1" applyFill="1" applyBorder="1">
      <alignment vertical="center"/>
      <protection locked="0"/>
    </xf>
    <xf numFmtId="3" fontId="9" fillId="0" borderId="127" xfId="46" applyNumberFormat="1" applyFont="1" applyFill="1" applyBorder="1">
      <alignment vertical="center"/>
      <protection locked="0"/>
    </xf>
    <xf numFmtId="3" fontId="7" fillId="0" borderId="129" xfId="46" applyNumberFormat="1" applyFont="1" applyFill="1" applyBorder="1">
      <alignment vertical="center"/>
      <protection locked="0"/>
    </xf>
    <xf numFmtId="3" fontId="7" fillId="0" borderId="130" xfId="46" applyNumberFormat="1" applyFont="1" applyFill="1" applyBorder="1">
      <alignment vertical="center"/>
      <protection locked="0"/>
    </xf>
    <xf numFmtId="0" fontId="9" fillId="0" borderId="14" xfId="67" applyFont="1" applyFill="1" applyBorder="1">
      <alignment vertical="center"/>
      <protection/>
    </xf>
    <xf numFmtId="0" fontId="5" fillId="0" borderId="131" xfId="73" applyFont="1" applyFill="1" applyBorder="1">
      <alignment horizontal="center" vertical="center"/>
      <protection/>
    </xf>
    <xf numFmtId="0" fontId="4" fillId="0" borderId="132" xfId="57" applyFont="1" applyFill="1" applyBorder="1" applyAlignment="1">
      <alignment horizontal="center"/>
      <protection/>
    </xf>
    <xf numFmtId="3" fontId="7" fillId="0" borderId="131" xfId="40" applyNumberFormat="1" applyFill="1" applyBorder="1">
      <alignment vertical="center"/>
      <protection/>
    </xf>
    <xf numFmtId="3" fontId="6" fillId="0" borderId="131" xfId="46" applyNumberFormat="1" applyBorder="1" applyProtection="1">
      <alignment vertical="center"/>
      <protection/>
    </xf>
    <xf numFmtId="3" fontId="7" fillId="0" borderId="131" xfId="40" applyNumberFormat="1" applyFont="1" applyFill="1" applyBorder="1">
      <alignment vertical="center"/>
      <protection/>
    </xf>
    <xf numFmtId="3" fontId="6" fillId="0" borderId="131" xfId="46" applyNumberFormat="1" applyBorder="1">
      <alignment vertical="center"/>
      <protection locked="0"/>
    </xf>
    <xf numFmtId="3" fontId="6" fillId="0" borderId="133" xfId="46" applyNumberFormat="1" applyBorder="1">
      <alignment vertical="center"/>
      <protection locked="0"/>
    </xf>
    <xf numFmtId="3" fontId="7" fillId="0" borderId="134" xfId="40" applyNumberFormat="1" applyFill="1" applyBorder="1">
      <alignment vertical="center"/>
      <protection/>
    </xf>
    <xf numFmtId="3" fontId="7" fillId="0" borderId="135" xfId="40" applyNumberFormat="1" applyFill="1" applyBorder="1">
      <alignment vertical="center"/>
      <protection/>
    </xf>
    <xf numFmtId="3" fontId="11" fillId="0" borderId="136" xfId="0" applyNumberFormat="1" applyFont="1" applyFill="1" applyBorder="1" applyAlignment="1">
      <alignment vertical="center"/>
    </xf>
    <xf numFmtId="3" fontId="7" fillId="0" borderId="133" xfId="40" applyNumberFormat="1" applyFill="1" applyBorder="1">
      <alignment vertical="center"/>
      <protection/>
    </xf>
    <xf numFmtId="3" fontId="7" fillId="0" borderId="137" xfId="40" applyNumberFormat="1" applyFont="1" applyFill="1" applyBorder="1">
      <alignment vertical="center"/>
      <protection/>
    </xf>
    <xf numFmtId="3" fontId="7" fillId="0" borderId="138" xfId="40" applyNumberFormat="1" applyFill="1" applyBorder="1">
      <alignment vertical="center"/>
      <protection/>
    </xf>
    <xf numFmtId="3" fontId="7" fillId="0" borderId="136" xfId="46" applyNumberFormat="1" applyFont="1" applyFill="1" applyBorder="1">
      <alignment vertical="center"/>
      <protection locked="0"/>
    </xf>
    <xf numFmtId="3" fontId="7" fillId="0" borderId="139" xfId="46" applyNumberFormat="1" applyFont="1" applyFill="1" applyBorder="1">
      <alignment vertical="center"/>
      <protection locked="0"/>
    </xf>
    <xf numFmtId="3" fontId="13" fillId="0" borderId="136" xfId="46" applyNumberFormat="1" applyFont="1" applyFill="1" applyBorder="1">
      <alignment vertical="center"/>
      <protection locked="0"/>
    </xf>
    <xf numFmtId="3" fontId="13" fillId="0" borderId="140" xfId="40" applyNumberFormat="1" applyFont="1" applyFill="1" applyBorder="1">
      <alignment vertical="center"/>
      <protection/>
    </xf>
    <xf numFmtId="0" fontId="0" fillId="0" borderId="0" xfId="0" applyFont="1" applyAlignment="1">
      <alignment/>
    </xf>
    <xf numFmtId="0" fontId="5" fillId="0" borderId="35" xfId="67" applyFont="1" applyFill="1" applyBorder="1" applyAlignment="1">
      <alignment horizontal="center" vertical="center"/>
      <protection/>
    </xf>
    <xf numFmtId="0" fontId="6" fillId="0" borderId="141" xfId="67" applyFont="1" applyBorder="1">
      <alignment vertical="center"/>
      <protection/>
    </xf>
    <xf numFmtId="0" fontId="5" fillId="0" borderId="103" xfId="73" applyFill="1" applyBorder="1">
      <alignment horizontal="center" vertical="center"/>
      <protection/>
    </xf>
    <xf numFmtId="3" fontId="13" fillId="0" borderId="135" xfId="40" applyNumberFormat="1" applyFont="1" applyFill="1" applyBorder="1" applyAlignment="1">
      <alignment vertical="center"/>
      <protection/>
    </xf>
    <xf numFmtId="3" fontId="13" fillId="0" borderId="6" xfId="40" applyNumberFormat="1" applyFont="1" applyFill="1" applyBorder="1">
      <alignment vertical="center"/>
      <protection/>
    </xf>
    <xf numFmtId="3" fontId="13" fillId="0" borderId="142" xfId="40" applyNumberFormat="1" applyFont="1" applyFill="1" applyBorder="1">
      <alignment vertical="center"/>
      <protection/>
    </xf>
    <xf numFmtId="0" fontId="9" fillId="0" borderId="84" xfId="67" applyFont="1" applyBorder="1">
      <alignment vertical="center"/>
      <protection/>
    </xf>
    <xf numFmtId="3" fontId="13" fillId="0" borderId="137" xfId="40" applyNumberFormat="1" applyFont="1" applyFill="1" applyBorder="1">
      <alignment vertical="center"/>
      <protection/>
    </xf>
    <xf numFmtId="0" fontId="5" fillId="0" borderId="44" xfId="73" applyFont="1" applyFill="1" applyBorder="1">
      <alignment horizontal="center" vertical="center"/>
      <protection/>
    </xf>
    <xf numFmtId="0" fontId="5" fillId="0" borderId="37" xfId="73" applyFont="1" applyFill="1" applyBorder="1">
      <alignment horizontal="center" vertical="center"/>
      <protection/>
    </xf>
    <xf numFmtId="3" fontId="13" fillId="0" borderId="143" xfId="40" applyNumberFormat="1" applyFont="1" applyFill="1" applyBorder="1">
      <alignment vertical="center"/>
      <protection/>
    </xf>
    <xf numFmtId="3" fontId="13" fillId="0" borderId="43" xfId="40" applyNumberFormat="1" applyFont="1" applyFill="1" applyBorder="1">
      <alignment vertical="center"/>
      <protection/>
    </xf>
    <xf numFmtId="0" fontId="5" fillId="0" borderId="25" xfId="71" applyFill="1" applyBorder="1">
      <alignment horizontal="center" vertical="center" textRotation="90" wrapText="1"/>
      <protection/>
    </xf>
    <xf numFmtId="0" fontId="5" fillId="0" borderId="24" xfId="71" applyFill="1" applyBorder="1" applyAlignment="1">
      <alignment horizontal="center" vertical="center" textRotation="90" wrapText="1"/>
      <protection/>
    </xf>
    <xf numFmtId="0" fontId="0" fillId="0" borderId="0" xfId="0" applyFont="1" applyAlignment="1">
      <alignment/>
    </xf>
    <xf numFmtId="0" fontId="9" fillId="0" borderId="14" xfId="67" applyFont="1" applyFill="1" applyBorder="1">
      <alignment vertical="center"/>
      <protection/>
    </xf>
    <xf numFmtId="3" fontId="7" fillId="0" borderId="50" xfId="40" applyNumberFormat="1" applyFill="1" applyBorder="1">
      <alignment vertical="center"/>
      <protection/>
    </xf>
    <xf numFmtId="3" fontId="2" fillId="0" borderId="144" xfId="0" applyNumberFormat="1" applyFont="1" applyFill="1" applyBorder="1" applyAlignment="1">
      <alignment vertical="center"/>
    </xf>
    <xf numFmtId="3" fontId="9" fillId="0" borderId="87" xfId="46" applyNumberFormat="1" applyFont="1" applyFill="1" applyBorder="1">
      <alignment vertical="center"/>
      <protection locked="0"/>
    </xf>
    <xf numFmtId="0" fontId="5" fillId="0" borderId="145" xfId="73" applyFont="1" applyFill="1" applyBorder="1">
      <alignment horizontal="center" vertical="center"/>
      <protection/>
    </xf>
    <xf numFmtId="1" fontId="9" fillId="0" borderId="146" xfId="46" applyFont="1" applyBorder="1">
      <alignment vertical="center"/>
      <protection locked="0"/>
    </xf>
    <xf numFmtId="3" fontId="9" fillId="0" borderId="146" xfId="46" applyNumberFormat="1" applyFont="1" applyBorder="1">
      <alignment vertical="center"/>
      <protection locked="0"/>
    </xf>
    <xf numFmtId="3" fontId="13" fillId="0" borderId="147" xfId="40" applyNumberFormat="1" applyFont="1" applyFill="1" applyBorder="1">
      <alignment vertical="center"/>
      <protection/>
    </xf>
    <xf numFmtId="3" fontId="9" fillId="0" borderId="146" xfId="46" applyNumberFormat="1" applyFont="1" applyFill="1" applyBorder="1">
      <alignment vertical="center"/>
      <protection locked="0"/>
    </xf>
    <xf numFmtId="3" fontId="13" fillId="0" borderId="146" xfId="40" applyNumberFormat="1" applyFont="1" applyFill="1" applyBorder="1">
      <alignment vertical="center"/>
      <protection/>
    </xf>
    <xf numFmtId="3" fontId="13" fillId="0" borderId="106" xfId="40" applyNumberFormat="1" applyFont="1" applyFill="1" applyBorder="1">
      <alignment vertical="center"/>
      <protection/>
    </xf>
    <xf numFmtId="3" fontId="13" fillId="0" borderId="6" xfId="0" applyNumberFormat="1" applyFont="1" applyFill="1" applyBorder="1" applyAlignment="1">
      <alignment vertical="center"/>
    </xf>
    <xf numFmtId="3" fontId="13" fillId="0" borderId="148" xfId="46" applyNumberFormat="1" applyFont="1" applyFill="1" applyBorder="1">
      <alignment vertical="center"/>
      <protection locked="0"/>
    </xf>
    <xf numFmtId="0" fontId="5" fillId="0" borderId="56" xfId="73" applyFont="1" applyFill="1" applyBorder="1">
      <alignment horizontal="center" vertical="center"/>
      <protection/>
    </xf>
    <xf numFmtId="3" fontId="13" fillId="0" borderId="149" xfId="40" applyNumberFormat="1" applyFont="1" applyFill="1" applyBorder="1">
      <alignment vertical="center"/>
      <protection/>
    </xf>
    <xf numFmtId="3" fontId="13" fillId="0" borderId="150" xfId="40" applyNumberFormat="1" applyFont="1" applyFill="1" applyBorder="1">
      <alignment vertical="center"/>
      <protection/>
    </xf>
    <xf numFmtId="0" fontId="5" fillId="0" borderId="107" xfId="73" applyFont="1" applyFill="1" applyBorder="1">
      <alignment horizontal="center" vertical="center"/>
      <protection/>
    </xf>
    <xf numFmtId="3" fontId="13" fillId="0" borderId="47" xfId="40" applyNumberFormat="1" applyFont="1" applyFill="1" applyBorder="1">
      <alignment vertical="center"/>
      <protection/>
    </xf>
    <xf numFmtId="0" fontId="9" fillId="0" borderId="58" xfId="67" applyFont="1" applyFill="1" applyBorder="1">
      <alignment vertical="center"/>
      <protection/>
    </xf>
    <xf numFmtId="3" fontId="9" fillId="0" borderId="77" xfId="46" applyNumberFormat="1" applyFont="1" applyFill="1" applyBorder="1">
      <alignment vertical="center"/>
      <protection locked="0"/>
    </xf>
    <xf numFmtId="0" fontId="9" fillId="0" borderId="115" xfId="67" applyFont="1" applyFill="1" applyBorder="1">
      <alignment vertical="center"/>
      <protection/>
    </xf>
    <xf numFmtId="3" fontId="9" fillId="0" borderId="151" xfId="46" applyNumberFormat="1" applyFont="1" applyFill="1" applyBorder="1">
      <alignment vertical="center"/>
      <protection locked="0"/>
    </xf>
    <xf numFmtId="0" fontId="5" fillId="0" borderId="152" xfId="73" applyFont="1" applyFill="1" applyBorder="1">
      <alignment horizontal="center" vertical="center"/>
      <protection/>
    </xf>
    <xf numFmtId="3" fontId="13" fillId="0" borderId="153" xfId="40" applyNumberFormat="1" applyFont="1" applyFill="1" applyBorder="1">
      <alignment vertical="center"/>
      <protection/>
    </xf>
    <xf numFmtId="3" fontId="13" fillId="0" borderId="53" xfId="40" applyNumberFormat="1" applyFont="1" applyFill="1" applyBorder="1">
      <alignment vertical="center"/>
      <protection/>
    </xf>
    <xf numFmtId="3" fontId="7" fillId="0" borderId="63" xfId="40" applyNumberFormat="1" applyFill="1" applyBorder="1">
      <alignment vertical="center"/>
      <protection/>
    </xf>
    <xf numFmtId="0" fontId="5" fillId="0" borderId="154" xfId="73" applyFill="1" applyBorder="1" applyAlignment="1">
      <alignment horizontal="centerContinuous" vertical="center"/>
      <protection/>
    </xf>
    <xf numFmtId="0" fontId="5" fillId="0" borderId="155" xfId="73" applyFill="1" applyBorder="1">
      <alignment horizontal="center" vertical="center"/>
      <protection/>
    </xf>
    <xf numFmtId="3" fontId="7" fillId="0" borderId="156" xfId="40" applyNumberFormat="1" applyFill="1" applyBorder="1">
      <alignment vertical="center"/>
      <protection/>
    </xf>
    <xf numFmtId="3" fontId="13" fillId="0" borderId="157" xfId="40" applyNumberFormat="1" applyFont="1" applyFill="1" applyBorder="1">
      <alignment vertical="center"/>
      <protection/>
    </xf>
    <xf numFmtId="0" fontId="5" fillId="0" borderId="158" xfId="73" applyFill="1" applyBorder="1" applyAlignment="1">
      <alignment horizontal="centerContinuous" vertical="center"/>
      <protection/>
    </xf>
    <xf numFmtId="0" fontId="5" fillId="0" borderId="159" xfId="73" applyFill="1" applyBorder="1">
      <alignment horizontal="center" vertical="center"/>
      <protection/>
    </xf>
    <xf numFmtId="3" fontId="6" fillId="0" borderId="160" xfId="46" applyNumberFormat="1" applyFont="1" applyBorder="1">
      <alignment vertical="center"/>
      <protection locked="0"/>
    </xf>
    <xf numFmtId="3" fontId="9" fillId="0" borderId="160" xfId="46" applyNumberFormat="1" applyFont="1" applyBorder="1">
      <alignment vertical="center"/>
      <protection locked="0"/>
    </xf>
    <xf numFmtId="3" fontId="13" fillId="0" borderId="160" xfId="40" applyNumberFormat="1" applyFont="1" applyFill="1" applyBorder="1">
      <alignment vertical="center"/>
      <protection/>
    </xf>
    <xf numFmtId="3" fontId="7" fillId="0" borderId="160" xfId="40" applyNumberFormat="1" applyFill="1" applyBorder="1">
      <alignment vertical="center"/>
      <protection/>
    </xf>
    <xf numFmtId="3" fontId="7" fillId="0" borderId="161" xfId="40" applyNumberFormat="1" applyFill="1" applyBorder="1">
      <alignment vertical="center"/>
      <protection/>
    </xf>
    <xf numFmtId="3" fontId="7" fillId="0" borderId="160" xfId="46" applyNumberFormat="1" applyFont="1" applyFill="1" applyBorder="1">
      <alignment vertical="center"/>
      <protection locked="0"/>
    </xf>
    <xf numFmtId="3" fontId="9" fillId="0" borderId="162" xfId="46" applyNumberFormat="1" applyFont="1" applyFill="1" applyBorder="1">
      <alignment vertical="center"/>
      <protection locked="0"/>
    </xf>
    <xf numFmtId="3" fontId="7" fillId="0" borderId="163" xfId="46" applyNumberFormat="1" applyFont="1" applyFill="1" applyBorder="1">
      <alignment vertical="center"/>
      <protection locked="0"/>
    </xf>
    <xf numFmtId="3" fontId="7" fillId="0" borderId="164" xfId="46" applyNumberFormat="1" applyFont="1" applyFill="1" applyBorder="1">
      <alignment vertical="center"/>
      <protection locked="0"/>
    </xf>
    <xf numFmtId="3" fontId="7" fillId="0" borderId="162" xfId="46" applyNumberFormat="1" applyFont="1" applyFill="1" applyBorder="1">
      <alignment vertical="center"/>
      <protection locked="0"/>
    </xf>
    <xf numFmtId="3" fontId="7" fillId="0" borderId="165" xfId="46" applyNumberFormat="1" applyFont="1" applyFill="1" applyBorder="1">
      <alignment vertical="center"/>
      <protection locked="0"/>
    </xf>
    <xf numFmtId="3" fontId="9" fillId="0" borderId="166" xfId="46" applyNumberFormat="1" applyFont="1" applyFill="1" applyBorder="1">
      <alignment vertical="center"/>
      <protection locked="0"/>
    </xf>
    <xf numFmtId="3" fontId="13" fillId="0" borderId="167" xfId="40" applyNumberFormat="1" applyFont="1" applyFill="1" applyBorder="1">
      <alignment vertical="center"/>
      <protection/>
    </xf>
    <xf numFmtId="3" fontId="7" fillId="0" borderId="160" xfId="46" applyNumberFormat="1" applyFont="1" applyFill="1" applyBorder="1">
      <alignment vertical="center"/>
      <protection locked="0"/>
    </xf>
    <xf numFmtId="0" fontId="5" fillId="0" borderId="168" xfId="73" applyFont="1" applyFill="1" applyBorder="1">
      <alignment horizontal="center" vertical="center"/>
      <protection/>
    </xf>
    <xf numFmtId="3" fontId="6" fillId="0" borderId="169" xfId="46" applyNumberFormat="1" applyFill="1" applyBorder="1">
      <alignment vertical="center"/>
      <protection locked="0"/>
    </xf>
    <xf numFmtId="3" fontId="6" fillId="0" borderId="170" xfId="46" applyNumberFormat="1" applyFill="1" applyBorder="1">
      <alignment vertical="center"/>
      <protection locked="0"/>
    </xf>
    <xf numFmtId="3" fontId="13" fillId="0" borderId="170" xfId="46" applyNumberFormat="1" applyFont="1" applyFill="1" applyBorder="1">
      <alignment vertical="center"/>
      <protection locked="0"/>
    </xf>
    <xf numFmtId="3" fontId="7" fillId="0" borderId="170" xfId="46" applyNumberFormat="1" applyFont="1" applyFill="1" applyBorder="1">
      <alignment vertical="center"/>
      <protection locked="0"/>
    </xf>
    <xf numFmtId="3" fontId="9" fillId="0" borderId="170" xfId="46" applyNumberFormat="1" applyFont="1" applyFill="1" applyBorder="1">
      <alignment vertical="center"/>
      <protection locked="0"/>
    </xf>
    <xf numFmtId="3" fontId="6" fillId="0" borderId="171" xfId="46" applyNumberFormat="1" applyFill="1" applyBorder="1">
      <alignment vertical="center"/>
      <protection locked="0"/>
    </xf>
    <xf numFmtId="3" fontId="13" fillId="0" borderId="172" xfId="40" applyNumberFormat="1" applyFont="1" applyFill="1" applyBorder="1">
      <alignment vertical="center"/>
      <protection/>
    </xf>
    <xf numFmtId="3" fontId="6" fillId="0" borderId="170" xfId="46" applyNumberFormat="1" applyFont="1" applyFill="1" applyBorder="1">
      <alignment vertical="center"/>
      <protection locked="0"/>
    </xf>
    <xf numFmtId="3" fontId="6" fillId="0" borderId="170" xfId="46" applyNumberFormat="1" applyFill="1" applyBorder="1">
      <alignment vertical="center"/>
      <protection locked="0"/>
    </xf>
    <xf numFmtId="3" fontId="7" fillId="0" borderId="170" xfId="46" applyNumberFormat="1" applyFont="1" applyFill="1" applyBorder="1">
      <alignment vertical="center"/>
      <protection locked="0"/>
    </xf>
    <xf numFmtId="0" fontId="12" fillId="0" borderId="173" xfId="73" applyFont="1" applyFill="1" applyBorder="1">
      <alignment horizontal="center" vertical="center"/>
      <protection/>
    </xf>
    <xf numFmtId="3" fontId="7" fillId="0" borderId="174" xfId="46" applyNumberFormat="1" applyFont="1" applyFill="1" applyBorder="1">
      <alignment vertical="center"/>
      <protection locked="0"/>
    </xf>
    <xf numFmtId="3" fontId="7" fillId="0" borderId="175" xfId="46" applyNumberFormat="1" applyFont="1" applyFill="1" applyBorder="1">
      <alignment vertical="center"/>
      <protection locked="0"/>
    </xf>
    <xf numFmtId="3" fontId="13" fillId="0" borderId="120" xfId="46" applyNumberFormat="1" applyFont="1" applyFill="1" applyBorder="1">
      <alignment vertical="center"/>
      <protection locked="0"/>
    </xf>
    <xf numFmtId="3" fontId="13" fillId="0" borderId="175" xfId="46" applyNumberFormat="1" applyFont="1" applyFill="1" applyBorder="1">
      <alignment vertical="center"/>
      <protection locked="0"/>
    </xf>
    <xf numFmtId="3" fontId="13" fillId="0" borderId="176" xfId="46" applyNumberFormat="1" applyFont="1" applyFill="1" applyBorder="1">
      <alignment vertical="center"/>
      <protection locked="0"/>
    </xf>
    <xf numFmtId="3" fontId="13" fillId="0" borderId="177" xfId="40" applyNumberFormat="1" applyFont="1" applyFill="1" applyBorder="1">
      <alignment vertical="center"/>
      <protection/>
    </xf>
    <xf numFmtId="3" fontId="7" fillId="0" borderId="175" xfId="46" applyNumberFormat="1" applyFont="1" applyFill="1" applyBorder="1">
      <alignment vertical="center"/>
      <protection locked="0"/>
    </xf>
    <xf numFmtId="3" fontId="6" fillId="0" borderId="120" xfId="46" applyNumberFormat="1" applyFill="1" applyBorder="1">
      <alignment vertical="center"/>
      <protection locked="0"/>
    </xf>
    <xf numFmtId="3" fontId="9" fillId="0" borderId="178" xfId="46" applyNumberFormat="1" applyFont="1" applyFill="1" applyBorder="1">
      <alignment vertical="center"/>
      <protection locked="0"/>
    </xf>
    <xf numFmtId="0" fontId="5" fillId="0" borderId="164" xfId="73" applyFont="1" applyFill="1" applyBorder="1">
      <alignment horizontal="center" vertical="center"/>
      <protection/>
    </xf>
    <xf numFmtId="3" fontId="6" fillId="0" borderId="163" xfId="46" applyNumberFormat="1" applyFill="1" applyBorder="1">
      <alignment vertical="center"/>
      <protection locked="0"/>
    </xf>
    <xf numFmtId="3" fontId="6" fillId="0" borderId="164" xfId="46" applyNumberFormat="1" applyFill="1" applyBorder="1">
      <alignment vertical="center"/>
      <protection locked="0"/>
    </xf>
    <xf numFmtId="3" fontId="6" fillId="0" borderId="166" xfId="46" applyNumberFormat="1" applyFill="1" applyBorder="1">
      <alignment vertical="center"/>
      <protection locked="0"/>
    </xf>
    <xf numFmtId="3" fontId="6" fillId="0" borderId="179" xfId="46" applyNumberFormat="1" applyFill="1" applyBorder="1">
      <alignment vertical="center"/>
      <protection locked="0"/>
    </xf>
    <xf numFmtId="3" fontId="6" fillId="0" borderId="180" xfId="46" applyNumberFormat="1" applyFill="1" applyBorder="1">
      <alignment vertical="center"/>
      <protection locked="0"/>
    </xf>
    <xf numFmtId="3" fontId="6" fillId="0" borderId="181" xfId="46" applyNumberFormat="1" applyFill="1" applyBorder="1">
      <alignment vertical="center"/>
      <protection locked="0"/>
    </xf>
    <xf numFmtId="3" fontId="6" fillId="0" borderId="163" xfId="46" applyNumberFormat="1" applyFill="1" applyBorder="1">
      <alignment vertical="center"/>
      <protection locked="0"/>
    </xf>
    <xf numFmtId="3" fontId="6" fillId="0" borderId="124" xfId="46" applyNumberFormat="1" applyFill="1" applyBorder="1">
      <alignment vertical="center"/>
      <protection locked="0"/>
    </xf>
    <xf numFmtId="3" fontId="6" fillId="0" borderId="182" xfId="46" applyNumberFormat="1" applyFill="1" applyBorder="1">
      <alignment vertical="center"/>
      <protection locked="0"/>
    </xf>
    <xf numFmtId="0" fontId="5" fillId="0" borderId="183" xfId="73" applyFill="1" applyBorder="1">
      <alignment horizontal="center" vertical="center"/>
      <protection/>
    </xf>
    <xf numFmtId="0" fontId="10" fillId="0" borderId="184" xfId="73" applyFont="1" applyFill="1" applyBorder="1">
      <alignment horizontal="center" vertical="center"/>
      <protection/>
    </xf>
    <xf numFmtId="0" fontId="9" fillId="0" borderId="185" xfId="57" applyFont="1" applyBorder="1" applyAlignment="1">
      <alignment horizontal="center" vertical="center"/>
      <protection/>
    </xf>
    <xf numFmtId="0" fontId="9" fillId="0" borderId="184" xfId="72" applyBorder="1">
      <alignment horizontal="center" vertical="center"/>
      <protection/>
    </xf>
    <xf numFmtId="0" fontId="9" fillId="0" borderId="186" xfId="72" applyBorder="1">
      <alignment horizontal="center" vertical="center"/>
      <protection/>
    </xf>
    <xf numFmtId="0" fontId="9" fillId="0" borderId="187" xfId="72" applyFont="1" applyBorder="1">
      <alignment horizontal="center" vertical="center"/>
      <protection/>
    </xf>
    <xf numFmtId="0" fontId="9" fillId="0" borderId="188" xfId="72" applyBorder="1">
      <alignment horizontal="center" vertical="center"/>
      <protection/>
    </xf>
    <xf numFmtId="0" fontId="9" fillId="0" borderId="189" xfId="72" applyBorder="1">
      <alignment horizontal="center" vertical="center"/>
      <protection/>
    </xf>
    <xf numFmtId="165" fontId="20" fillId="0" borderId="0" xfId="42" applyNumberFormat="1" applyFont="1" applyFill="1" applyAlignment="1">
      <alignment horizontal="right"/>
    </xf>
    <xf numFmtId="0" fontId="12" fillId="0" borderId="190" xfId="73" applyFont="1" applyFill="1" applyBorder="1">
      <alignment horizontal="center" vertical="center"/>
      <protection/>
    </xf>
    <xf numFmtId="1" fontId="7" fillId="0" borderId="191" xfId="40" applyFont="1" applyFill="1" applyBorder="1">
      <alignment vertical="center"/>
      <protection/>
    </xf>
    <xf numFmtId="3" fontId="7" fillId="0" borderId="192" xfId="40" applyNumberFormat="1" applyFont="1" applyFill="1" applyBorder="1">
      <alignment vertical="center"/>
      <protection/>
    </xf>
    <xf numFmtId="3" fontId="7" fillId="0" borderId="160" xfId="40" applyNumberFormat="1" applyFont="1" applyFill="1" applyBorder="1">
      <alignment vertical="center"/>
      <protection/>
    </xf>
    <xf numFmtId="3" fontId="7" fillId="0" borderId="160" xfId="46" applyNumberFormat="1" applyFont="1" applyBorder="1">
      <alignment vertical="center"/>
      <protection locked="0"/>
    </xf>
    <xf numFmtId="3" fontId="13" fillId="0" borderId="160" xfId="40" applyNumberFormat="1" applyFont="1" applyFill="1" applyBorder="1">
      <alignment vertical="center"/>
      <protection/>
    </xf>
    <xf numFmtId="3" fontId="7" fillId="0" borderId="193" xfId="40" applyNumberFormat="1" applyFont="1" applyFill="1" applyBorder="1">
      <alignment vertical="center"/>
      <protection/>
    </xf>
    <xf numFmtId="3" fontId="7" fillId="0" borderId="170" xfId="40" applyNumberFormat="1" applyFont="1" applyFill="1" applyBorder="1">
      <alignment vertical="center"/>
      <protection/>
    </xf>
    <xf numFmtId="3" fontId="13" fillId="0" borderId="191" xfId="40" applyNumberFormat="1" applyFont="1" applyFill="1" applyBorder="1">
      <alignment vertical="center"/>
      <protection/>
    </xf>
    <xf numFmtId="3" fontId="7" fillId="0" borderId="159" xfId="46" applyNumberFormat="1" applyFont="1" applyBorder="1">
      <alignment vertical="center"/>
      <protection locked="0"/>
    </xf>
    <xf numFmtId="3" fontId="13" fillId="0" borderId="161" xfId="40" applyNumberFormat="1" applyFont="1" applyFill="1" applyBorder="1">
      <alignment vertical="center"/>
      <protection/>
    </xf>
    <xf numFmtId="3" fontId="7" fillId="0" borderId="194" xfId="40" applyNumberFormat="1" applyFont="1" applyFill="1" applyBorder="1">
      <alignment vertical="center"/>
      <protection/>
    </xf>
    <xf numFmtId="3" fontId="13" fillId="0" borderId="160" xfId="46" applyNumberFormat="1" applyFont="1" applyFill="1" applyBorder="1">
      <alignment vertical="center"/>
      <protection locked="0"/>
    </xf>
    <xf numFmtId="3" fontId="6" fillId="0" borderId="160" xfId="46" applyNumberFormat="1" applyFill="1" applyBorder="1">
      <alignment vertical="center"/>
      <protection locked="0"/>
    </xf>
    <xf numFmtId="3" fontId="9" fillId="0" borderId="159" xfId="46" applyNumberFormat="1" applyFont="1" applyFill="1" applyBorder="1">
      <alignment vertical="center"/>
      <protection locked="0"/>
    </xf>
    <xf numFmtId="3" fontId="13" fillId="0" borderId="195" xfId="40" applyNumberFormat="1" applyFont="1" applyFill="1" applyBorder="1">
      <alignment vertical="center"/>
      <protection/>
    </xf>
    <xf numFmtId="3" fontId="6" fillId="0" borderId="119" xfId="46" applyNumberFormat="1" applyFill="1" applyBorder="1">
      <alignment vertical="center"/>
      <protection locked="0"/>
    </xf>
    <xf numFmtId="3" fontId="9" fillId="0" borderId="196" xfId="46" applyNumberFormat="1" applyFont="1" applyFill="1" applyBorder="1">
      <alignment vertical="center"/>
      <protection locked="0"/>
    </xf>
    <xf numFmtId="0" fontId="5" fillId="0" borderId="197" xfId="71" applyFill="1" applyBorder="1">
      <alignment horizontal="center" vertical="center" textRotation="90" wrapText="1"/>
      <protection/>
    </xf>
    <xf numFmtId="0" fontId="5" fillId="0" borderId="198" xfId="71" applyFill="1" applyBorder="1">
      <alignment horizontal="center" vertical="center" textRotation="90" wrapText="1"/>
      <protection/>
    </xf>
    <xf numFmtId="3" fontId="6" fillId="0" borderId="131" xfId="46" applyNumberFormat="1" applyFill="1" applyBorder="1">
      <alignment vertical="center"/>
      <protection locked="0"/>
    </xf>
    <xf numFmtId="3" fontId="13" fillId="0" borderId="143" xfId="40" applyNumberFormat="1" applyFont="1" applyFill="1" applyBorder="1">
      <alignment vertical="center"/>
      <protection/>
    </xf>
    <xf numFmtId="3" fontId="13" fillId="0" borderId="199" xfId="40" applyNumberFormat="1" applyFont="1" applyFill="1" applyBorder="1">
      <alignment vertical="center"/>
      <protection/>
    </xf>
    <xf numFmtId="3" fontId="6" fillId="0" borderId="6" xfId="46" applyNumberFormat="1" applyFill="1" applyBorder="1">
      <alignment vertical="center"/>
      <protection locked="0"/>
    </xf>
    <xf numFmtId="0" fontId="5" fillId="0" borderId="197" xfId="71" applyBorder="1">
      <alignment horizontal="center" vertical="center" textRotation="90" wrapText="1"/>
      <protection/>
    </xf>
    <xf numFmtId="0" fontId="5" fillId="0" borderId="198" xfId="71" applyBorder="1">
      <alignment horizontal="center" vertical="center" textRotation="90" wrapText="1"/>
      <protection/>
    </xf>
    <xf numFmtId="3" fontId="6" fillId="0" borderId="131" xfId="46" applyNumberFormat="1" applyFont="1" applyFill="1" applyBorder="1">
      <alignment vertical="center"/>
      <protection locked="0"/>
    </xf>
    <xf numFmtId="3" fontId="7" fillId="0" borderId="156" xfId="40" applyNumberFormat="1" applyFont="1" applyFill="1" applyBorder="1">
      <alignment vertical="center"/>
      <protection/>
    </xf>
    <xf numFmtId="3" fontId="9" fillId="0" borderId="200" xfId="46" applyNumberFormat="1" applyFont="1" applyBorder="1">
      <alignment vertical="center"/>
      <protection locked="0"/>
    </xf>
    <xf numFmtId="3" fontId="9" fillId="0" borderId="131" xfId="46" applyNumberFormat="1" applyFont="1" applyFill="1" applyBorder="1">
      <alignment vertical="center"/>
      <protection locked="0"/>
    </xf>
    <xf numFmtId="3" fontId="13" fillId="0" borderId="156" xfId="40" applyNumberFormat="1" applyFont="1" applyFill="1" applyBorder="1">
      <alignment vertical="center"/>
      <protection/>
    </xf>
    <xf numFmtId="3" fontId="9" fillId="0" borderId="197" xfId="46" applyNumberFormat="1" applyFont="1" applyBorder="1">
      <alignment vertical="center"/>
      <protection locked="0"/>
    </xf>
    <xf numFmtId="3" fontId="9" fillId="0" borderId="155" xfId="46" applyNumberFormat="1" applyFont="1" applyBorder="1">
      <alignment vertical="center"/>
      <protection locked="0"/>
    </xf>
    <xf numFmtId="3" fontId="7" fillId="0" borderId="201" xfId="40" applyNumberFormat="1" applyFill="1" applyBorder="1">
      <alignment vertical="center"/>
      <protection/>
    </xf>
    <xf numFmtId="3" fontId="7" fillId="0" borderId="157" xfId="40" applyNumberFormat="1" applyFill="1" applyBorder="1">
      <alignment vertical="center"/>
      <protection/>
    </xf>
    <xf numFmtId="0" fontId="5" fillId="0" borderId="202" xfId="71" applyFill="1" applyBorder="1" applyAlignment="1">
      <alignment horizontal="center" vertical="center" textRotation="90" wrapText="1"/>
      <protection/>
    </xf>
    <xf numFmtId="3" fontId="7" fillId="0" borderId="203" xfId="40" applyNumberFormat="1" applyFill="1" applyBorder="1">
      <alignment vertical="center"/>
      <protection/>
    </xf>
    <xf numFmtId="3" fontId="13" fillId="0" borderId="204" xfId="40" applyNumberFormat="1" applyFont="1" applyFill="1" applyBorder="1">
      <alignment vertical="center"/>
      <protection/>
    </xf>
    <xf numFmtId="0" fontId="7" fillId="0" borderId="130" xfId="46" applyNumberFormat="1" applyFont="1" applyFill="1" applyBorder="1">
      <alignment vertical="center"/>
      <protection locked="0"/>
    </xf>
    <xf numFmtId="3" fontId="7" fillId="0" borderId="6" xfId="46" applyNumberFormat="1" applyFont="1" applyFill="1" applyBorder="1">
      <alignment vertical="center"/>
      <protection locked="0"/>
    </xf>
    <xf numFmtId="0" fontId="5" fillId="0" borderId="202" xfId="71" applyFill="1" applyBorder="1">
      <alignment horizontal="center" vertical="center" textRotation="90" wrapText="1"/>
      <protection/>
    </xf>
    <xf numFmtId="3" fontId="7" fillId="0" borderId="205" xfId="46" applyNumberFormat="1" applyFont="1" applyFill="1" applyBorder="1">
      <alignment vertical="center"/>
      <protection locked="0"/>
    </xf>
    <xf numFmtId="3" fontId="7" fillId="0" borderId="206" xfId="46" applyNumberFormat="1" applyFont="1" applyFill="1" applyBorder="1">
      <alignment vertical="center"/>
      <protection locked="0"/>
    </xf>
    <xf numFmtId="3" fontId="13" fillId="0" borderId="205" xfId="46" applyNumberFormat="1" applyFont="1" applyFill="1" applyBorder="1">
      <alignment vertical="center"/>
      <protection locked="0"/>
    </xf>
    <xf numFmtId="3" fontId="13" fillId="0" borderId="207" xfId="40" applyNumberFormat="1" applyFont="1" applyFill="1" applyBorder="1">
      <alignment vertical="center"/>
      <protection/>
    </xf>
    <xf numFmtId="3" fontId="7" fillId="0" borderId="87" xfId="46" applyNumberFormat="1" applyFont="1" applyFill="1" applyBorder="1">
      <alignment vertical="center"/>
      <protection locked="0"/>
    </xf>
    <xf numFmtId="3" fontId="7" fillId="0" borderId="208" xfId="46" applyNumberFormat="1" applyFont="1" applyFill="1" applyBorder="1">
      <alignment vertical="center"/>
      <protection locked="0"/>
    </xf>
    <xf numFmtId="3" fontId="7" fillId="0" borderId="209" xfId="46" applyNumberFormat="1" applyFont="1" applyFill="1" applyBorder="1">
      <alignment vertical="center"/>
      <protection locked="0"/>
    </xf>
    <xf numFmtId="3" fontId="9" fillId="0" borderId="210" xfId="46" applyNumberFormat="1" applyFont="1" applyFill="1" applyBorder="1">
      <alignment vertical="center"/>
      <protection locked="0"/>
    </xf>
    <xf numFmtId="3" fontId="19" fillId="0" borderId="208" xfId="46" applyNumberFormat="1" applyFont="1" applyFill="1" applyBorder="1">
      <alignment vertical="center"/>
      <protection locked="0"/>
    </xf>
    <xf numFmtId="3" fontId="9" fillId="0" borderId="208" xfId="46" applyNumberFormat="1" applyFont="1" applyFill="1" applyBorder="1">
      <alignment vertical="center"/>
      <protection locked="0"/>
    </xf>
    <xf numFmtId="3" fontId="9" fillId="0" borderId="160" xfId="46" applyNumberFormat="1" applyFont="1" applyFill="1" applyBorder="1">
      <alignment vertical="center"/>
      <protection locked="0"/>
    </xf>
    <xf numFmtId="3" fontId="6" fillId="0" borderId="160" xfId="46" applyNumberFormat="1" applyFont="1" applyFill="1" applyBorder="1">
      <alignment vertical="center"/>
      <protection locked="0"/>
    </xf>
    <xf numFmtId="3" fontId="13" fillId="0" borderId="211" xfId="40" applyNumberFormat="1" applyFont="1" applyFill="1" applyBorder="1">
      <alignment vertical="center"/>
      <protection/>
    </xf>
    <xf numFmtId="3" fontId="6" fillId="0" borderId="191" xfId="46" applyNumberFormat="1" applyFill="1" applyBorder="1">
      <alignment vertical="center"/>
      <protection locked="0"/>
    </xf>
    <xf numFmtId="3" fontId="6" fillId="0" borderId="212" xfId="46" applyNumberFormat="1" applyFill="1" applyBorder="1">
      <alignment vertical="center"/>
      <protection locked="0"/>
    </xf>
    <xf numFmtId="3" fontId="9" fillId="0" borderId="193" xfId="46" applyNumberFormat="1" applyFont="1" applyFill="1" applyBorder="1">
      <alignment vertical="center"/>
      <protection locked="0"/>
    </xf>
    <xf numFmtId="3" fontId="6" fillId="0" borderId="213" xfId="46" applyNumberFormat="1" applyFill="1" applyBorder="1">
      <alignment vertical="center"/>
      <protection locked="0"/>
    </xf>
    <xf numFmtId="3" fontId="2" fillId="0" borderId="214" xfId="0" applyNumberFormat="1" applyFont="1" applyFill="1" applyBorder="1" applyAlignment="1">
      <alignment vertical="center"/>
    </xf>
    <xf numFmtId="3" fontId="6" fillId="0" borderId="160" xfId="46" applyNumberFormat="1" applyFill="1" applyBorder="1">
      <alignment vertical="center"/>
      <protection locked="0"/>
    </xf>
    <xf numFmtId="3" fontId="7" fillId="0" borderId="215" xfId="46" applyNumberFormat="1" applyFont="1" applyFill="1" applyBorder="1">
      <alignment vertical="center"/>
      <protection locked="0"/>
    </xf>
    <xf numFmtId="3" fontId="7" fillId="0" borderId="210" xfId="46" applyNumberFormat="1" applyFont="1" applyFill="1" applyBorder="1">
      <alignment vertical="center"/>
      <protection locked="0"/>
    </xf>
    <xf numFmtId="3" fontId="7" fillId="0" borderId="216" xfId="46" applyNumberFormat="1" applyFont="1" applyFill="1" applyBorder="1">
      <alignment vertical="center"/>
      <protection locked="0"/>
    </xf>
    <xf numFmtId="3" fontId="13" fillId="0" borderId="162" xfId="46" applyNumberFormat="1" applyFont="1" applyFill="1" applyBorder="1">
      <alignment vertical="center"/>
      <protection locked="0"/>
    </xf>
    <xf numFmtId="3" fontId="13" fillId="0" borderId="216" xfId="46" applyNumberFormat="1" applyFont="1" applyFill="1" applyBorder="1">
      <alignment vertical="center"/>
      <protection locked="0"/>
    </xf>
    <xf numFmtId="3" fontId="13" fillId="0" borderId="167" xfId="46" applyNumberFormat="1" applyFont="1" applyFill="1" applyBorder="1">
      <alignment vertical="center"/>
      <protection locked="0"/>
    </xf>
    <xf numFmtId="3" fontId="7" fillId="0" borderId="217" xfId="46" applyNumberFormat="1" applyFont="1" applyFill="1" applyBorder="1">
      <alignment vertical="center"/>
      <protection locked="0"/>
    </xf>
    <xf numFmtId="0" fontId="5" fillId="0" borderId="218" xfId="73" applyFont="1" applyFill="1" applyBorder="1">
      <alignment horizontal="center" vertical="center"/>
      <protection/>
    </xf>
    <xf numFmtId="3" fontId="7" fillId="0" borderId="219" xfId="46" applyNumberFormat="1" applyFont="1" applyFill="1" applyBorder="1">
      <alignment vertical="center"/>
      <protection locked="0"/>
    </xf>
    <xf numFmtId="3" fontId="7" fillId="0" borderId="208" xfId="46" applyNumberFormat="1" applyFont="1" applyFill="1" applyBorder="1">
      <alignment vertical="center"/>
      <protection locked="0"/>
    </xf>
    <xf numFmtId="3" fontId="7" fillId="0" borderId="220" xfId="46" applyNumberFormat="1" applyFont="1" applyFill="1" applyBorder="1">
      <alignment vertical="center"/>
      <protection locked="0"/>
    </xf>
    <xf numFmtId="0" fontId="5" fillId="0" borderId="33" xfId="73" applyFont="1" applyFill="1" applyBorder="1">
      <alignment horizontal="center" vertical="center"/>
      <protection/>
    </xf>
    <xf numFmtId="0" fontId="4" fillId="0" borderId="114" xfId="57" applyFont="1" applyFill="1" applyBorder="1" applyAlignment="1">
      <alignment horizontal="center"/>
      <protection/>
    </xf>
    <xf numFmtId="3" fontId="7" fillId="0" borderId="221" xfId="40" applyNumberFormat="1" applyFill="1" applyBorder="1">
      <alignment vertical="center"/>
      <protection/>
    </xf>
    <xf numFmtId="3" fontId="7" fillId="0" borderId="222" xfId="40" applyNumberFormat="1" applyFill="1" applyBorder="1">
      <alignment vertical="center"/>
      <protection/>
    </xf>
    <xf numFmtId="3" fontId="7" fillId="0" borderId="222" xfId="40" applyNumberFormat="1" applyFill="1" applyBorder="1">
      <alignment vertical="center"/>
      <protection/>
    </xf>
    <xf numFmtId="3" fontId="6" fillId="0" borderId="222" xfId="46" applyNumberFormat="1" applyFill="1" applyBorder="1">
      <alignment vertical="center"/>
      <protection locked="0"/>
    </xf>
    <xf numFmtId="3" fontId="7" fillId="0" borderId="63" xfId="40" applyNumberFormat="1" applyFont="1" applyFill="1" applyBorder="1">
      <alignment vertical="center"/>
      <protection/>
    </xf>
    <xf numFmtId="3" fontId="6" fillId="0" borderId="223" xfId="46" applyNumberFormat="1" applyFill="1" applyBorder="1">
      <alignment vertical="center"/>
      <protection locked="0"/>
    </xf>
    <xf numFmtId="3" fontId="13" fillId="0" borderId="224" xfId="40" applyNumberFormat="1" applyFont="1" applyFill="1" applyBorder="1" applyAlignment="1">
      <alignment vertical="center"/>
      <protection/>
    </xf>
    <xf numFmtId="3" fontId="7" fillId="0" borderId="225" xfId="40" applyNumberFormat="1" applyFill="1" applyBorder="1">
      <alignment vertical="center"/>
      <protection/>
    </xf>
    <xf numFmtId="3" fontId="7" fillId="0" borderId="89" xfId="40" applyNumberFormat="1" applyFill="1" applyBorder="1">
      <alignment vertical="center"/>
      <protection/>
    </xf>
    <xf numFmtId="3" fontId="11" fillId="0" borderId="222" xfId="0" applyNumberFormat="1" applyFont="1" applyFill="1" applyBorder="1" applyAlignment="1">
      <alignment vertical="center"/>
    </xf>
    <xf numFmtId="3" fontId="7" fillId="0" borderId="223" xfId="40" applyNumberFormat="1" applyFill="1" applyBorder="1">
      <alignment vertical="center"/>
      <protection/>
    </xf>
    <xf numFmtId="3" fontId="7" fillId="0" borderId="226" xfId="40" applyNumberFormat="1" applyFont="1" applyFill="1" applyBorder="1">
      <alignment vertical="center"/>
      <protection/>
    </xf>
    <xf numFmtId="3" fontId="13" fillId="0" borderId="227" xfId="40" applyNumberFormat="1" applyFont="1" applyFill="1" applyBorder="1">
      <alignment vertical="center"/>
      <protection/>
    </xf>
    <xf numFmtId="3" fontId="7" fillId="0" borderId="228" xfId="40" applyNumberFormat="1" applyFill="1" applyBorder="1">
      <alignment vertical="center"/>
      <protection/>
    </xf>
    <xf numFmtId="3" fontId="13" fillId="0" borderId="47" xfId="40" applyNumberFormat="1" applyFont="1" applyFill="1" applyBorder="1">
      <alignment vertical="center"/>
      <protection/>
    </xf>
    <xf numFmtId="0" fontId="9" fillId="0" borderId="59" xfId="72" applyBorder="1">
      <alignment horizontal="center" vertical="center"/>
      <protection/>
    </xf>
    <xf numFmtId="0" fontId="5" fillId="0" borderId="229" xfId="73" applyFont="1" applyFill="1" applyBorder="1" applyAlignment="1">
      <alignment horizontal="center" vertical="center"/>
      <protection/>
    </xf>
    <xf numFmtId="0" fontId="0" fillId="0" borderId="230" xfId="0" applyBorder="1" applyAlignment="1">
      <alignment horizontal="center" vertical="center"/>
    </xf>
    <xf numFmtId="0" fontId="12" fillId="0" borderId="231" xfId="73" applyFont="1" applyFill="1" applyBorder="1" applyAlignment="1">
      <alignment horizontal="center" vertical="center"/>
      <protection/>
    </xf>
    <xf numFmtId="0" fontId="0" fillId="0" borderId="232" xfId="0" applyBorder="1" applyAlignment="1">
      <alignment/>
    </xf>
    <xf numFmtId="0" fontId="0" fillId="0" borderId="233" xfId="0" applyBorder="1" applyAlignment="1">
      <alignment/>
    </xf>
    <xf numFmtId="0" fontId="5" fillId="0" borderId="234" xfId="73" applyFill="1" applyBorder="1" applyAlignment="1">
      <alignment horizontal="center" vertical="center"/>
      <protection/>
    </xf>
    <xf numFmtId="0" fontId="0" fillId="0" borderId="235" xfId="0" applyBorder="1" applyAlignment="1">
      <alignment horizontal="center" vertical="center"/>
    </xf>
    <xf numFmtId="0" fontId="5" fillId="0" borderId="29" xfId="73" applyFill="1" applyBorder="1" applyAlignment="1">
      <alignment horizontal="center" vertical="center"/>
      <protection/>
    </xf>
    <xf numFmtId="0" fontId="0" fillId="0" borderId="236" xfId="0" applyBorder="1" applyAlignment="1">
      <alignment horizontal="center" vertical="center"/>
    </xf>
    <xf numFmtId="0" fontId="5" fillId="0" borderId="29" xfId="73" applyFont="1" applyFill="1" applyBorder="1" applyAlignment="1">
      <alignment horizontal="center" vertical="center"/>
      <protection/>
    </xf>
    <xf numFmtId="0" fontId="0" fillId="0" borderId="236" xfId="0" applyBorder="1" applyAlignment="1">
      <alignment/>
    </xf>
    <xf numFmtId="0" fontId="5" fillId="0" borderId="237" xfId="68" applyFont="1" applyFill="1" applyBorder="1" applyAlignment="1">
      <alignment horizontal="center" vertical="center"/>
      <protection/>
    </xf>
    <xf numFmtId="0" fontId="5" fillId="0" borderId="158" xfId="68" applyFill="1" applyBorder="1" applyAlignment="1">
      <alignment horizontal="center" vertical="center"/>
      <protection/>
    </xf>
    <xf numFmtId="0" fontId="5" fillId="0" borderId="238" xfId="68" applyFont="1" applyFill="1" applyBorder="1" applyAlignment="1">
      <alignment horizontal="center" vertical="center"/>
      <protection/>
    </xf>
    <xf numFmtId="0" fontId="0" fillId="0" borderId="239" xfId="0" applyFill="1" applyBorder="1" applyAlignment="1">
      <alignment horizontal="center" vertical="center"/>
    </xf>
    <xf numFmtId="0" fontId="12" fillId="0" borderId="238" xfId="68" applyFont="1" applyFill="1" applyBorder="1" applyAlignment="1">
      <alignment horizontal="center" vertical="center"/>
      <protection/>
    </xf>
    <xf numFmtId="0" fontId="0" fillId="0" borderId="239" xfId="0" applyFont="1" applyFill="1" applyBorder="1" applyAlignment="1">
      <alignment horizontal="center" vertical="center"/>
    </xf>
    <xf numFmtId="0" fontId="8" fillId="0" borderId="238" xfId="68" applyFont="1" applyFill="1" applyBorder="1" applyAlignment="1">
      <alignment horizontal="center" vertical="center"/>
      <protection/>
    </xf>
    <xf numFmtId="0" fontId="5" fillId="0" borderId="240" xfId="68" applyFont="1" applyFill="1" applyBorder="1" applyAlignment="1">
      <alignment horizontal="center" vertical="center"/>
      <protection/>
    </xf>
    <xf numFmtId="0" fontId="0" fillId="0" borderId="233" xfId="0" applyFill="1" applyBorder="1" applyAlignment="1">
      <alignment horizontal="center" vertical="center"/>
    </xf>
    <xf numFmtId="0" fontId="8" fillId="0" borderId="240" xfId="68" applyFont="1" applyFill="1" applyBorder="1" applyAlignment="1">
      <alignment horizontal="center" vertical="center"/>
      <protection/>
    </xf>
    <xf numFmtId="0" fontId="0" fillId="0" borderId="232" xfId="0" applyFill="1" applyBorder="1" applyAlignment="1">
      <alignment horizontal="center" vertical="center"/>
    </xf>
    <xf numFmtId="0" fontId="0" fillId="0" borderId="241" xfId="0" applyFill="1" applyBorder="1" applyAlignment="1">
      <alignment horizontal="center" vertical="center"/>
    </xf>
    <xf numFmtId="0" fontId="8" fillId="0" borderId="242" xfId="68" applyFont="1" applyFill="1" applyBorder="1" applyAlignment="1">
      <alignment horizontal="center" vertical="center"/>
      <protection/>
    </xf>
    <xf numFmtId="0" fontId="0" fillId="0" borderId="243" xfId="0" applyFill="1" applyBorder="1" applyAlignment="1">
      <alignment horizontal="center" vertical="center"/>
    </xf>
    <xf numFmtId="0" fontId="5" fillId="0" borderId="244" xfId="68" applyFont="1" applyBorder="1" applyAlignment="1">
      <alignment horizontal="center" vertical="center"/>
      <protection/>
    </xf>
    <xf numFmtId="0" fontId="0" fillId="0" borderId="245" xfId="0" applyBorder="1" applyAlignment="1">
      <alignment horizontal="center" vertical="center"/>
    </xf>
    <xf numFmtId="0" fontId="0" fillId="0" borderId="246" xfId="0" applyBorder="1" applyAlignment="1">
      <alignment horizontal="center" vertical="center"/>
    </xf>
    <xf numFmtId="0" fontId="0" fillId="0" borderId="247" xfId="0" applyBorder="1" applyAlignment="1">
      <alignment horizontal="center" vertical="center"/>
    </xf>
    <xf numFmtId="0" fontId="0" fillId="0" borderId="232" xfId="0" applyBorder="1" applyAlignment="1">
      <alignment horizontal="center" vertical="center"/>
    </xf>
    <xf numFmtId="0" fontId="0" fillId="0" borderId="248" xfId="0" applyBorder="1" applyAlignment="1">
      <alignment horizontal="center" vertical="center"/>
    </xf>
    <xf numFmtId="0" fontId="0" fillId="0" borderId="233" xfId="0" applyBorder="1" applyAlignment="1">
      <alignment horizontal="center" vertical="center"/>
    </xf>
    <xf numFmtId="0" fontId="5" fillId="0" borderId="13" xfId="73" applyFill="1" applyBorder="1" applyAlignment="1">
      <alignment horizontal="center" vertical="center"/>
      <protection/>
    </xf>
    <xf numFmtId="0" fontId="0" fillId="0" borderId="249" xfId="58" applyFill="1" applyBorder="1" applyAlignment="1">
      <alignment horizontal="center" vertical="center"/>
      <protection/>
    </xf>
    <xf numFmtId="0" fontId="12" fillId="0" borderId="250" xfId="73" applyFont="1" applyFill="1" applyBorder="1" applyAlignment="1">
      <alignment horizontal="center" vertical="center" wrapText="1"/>
      <protection/>
    </xf>
    <xf numFmtId="0" fontId="0" fillId="0" borderId="251" xfId="0" applyFill="1" applyBorder="1" applyAlignment="1">
      <alignment horizontal="center" vertical="center" wrapText="1"/>
    </xf>
    <xf numFmtId="0" fontId="12" fillId="0" borderId="252" xfId="73" applyFont="1" applyFill="1" applyBorder="1" applyAlignment="1">
      <alignment horizontal="center" vertical="center" wrapText="1"/>
      <protection/>
    </xf>
    <xf numFmtId="0" fontId="0" fillId="0" borderId="253" xfId="0" applyFill="1" applyBorder="1" applyAlignment="1">
      <alignment horizontal="center" vertical="center" wrapText="1"/>
    </xf>
    <xf numFmtId="0" fontId="8" fillId="0" borderId="240" xfId="73" applyFont="1" applyFill="1" applyBorder="1" applyAlignment="1">
      <alignment horizontal="center" vertical="center"/>
      <protection/>
    </xf>
    <xf numFmtId="0" fontId="12" fillId="0" borderId="237" xfId="0" applyFont="1" applyFill="1" applyBorder="1" applyAlignment="1">
      <alignment horizontal="center" vertical="center"/>
    </xf>
    <xf numFmtId="0" fontId="12" fillId="0" borderId="158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gész" xfId="39"/>
    <cellStyle name="Egész,10" xfId="40"/>
    <cellStyle name="Ellenőrzőcella" xfId="41"/>
    <cellStyle name="Comma" xfId="42"/>
    <cellStyle name="Comma [0]" xfId="43"/>
    <cellStyle name="Figyelmeztetés" xfId="44"/>
    <cellStyle name="Hivatkozott cella" xfId="45"/>
    <cellStyle name="Irható,egész,10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em használt" xfId="57"/>
    <cellStyle name="Normál_2012%20évi%20%20költségvetés.mell.ÖNK-PH(1)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(2),10" xfId="66"/>
    <cellStyle name="Szöveg balra,10" xfId="67"/>
    <cellStyle name="Szöveg balra,12" xfId="68"/>
    <cellStyle name="Szöveg balra,16" xfId="69"/>
    <cellStyle name="Szöveg balra,sortör.,10" xfId="70"/>
    <cellStyle name="Szöveg függ.,12" xfId="71"/>
    <cellStyle name="Szöveg közép,10" xfId="72"/>
    <cellStyle name="Szöveg középen,12" xfId="73"/>
    <cellStyle name="Szöveg,függ,12" xfId="74"/>
    <cellStyle name="Tört(1) irható,10" xfId="75"/>
    <cellStyle name="Tört(1),10" xfId="76"/>
    <cellStyle name="Üres" xfId="77"/>
    <cellStyle name="Üres, szegéllye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hiv01ibm/Dokumentumok\Excel\Menyus\P&#233;nz&#252;gyielemz&#233;s\P&#252;modell\M_V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PageLayoutView="0" workbookViewId="0" topLeftCell="A1">
      <selection activeCell="G18" sqref="G18"/>
    </sheetView>
  </sheetViews>
  <sheetFormatPr defaultColWidth="9.140625" defaultRowHeight="12.75"/>
  <cols>
    <col min="1" max="1" width="3.421875" style="0" customWidth="1"/>
    <col min="2" max="2" width="37.28125" style="0" bestFit="1" customWidth="1"/>
    <col min="3" max="3" width="6.8515625" style="0" customWidth="1"/>
    <col min="4" max="4" width="12.7109375" style="0" customWidth="1"/>
    <col min="5" max="5" width="12.7109375" style="131" customWidth="1"/>
    <col min="6" max="6" width="3.7109375" style="0" customWidth="1"/>
    <col min="7" max="7" width="40.57421875" style="0" bestFit="1" customWidth="1"/>
    <col min="8" max="8" width="8.00390625" style="0" customWidth="1"/>
    <col min="9" max="10" width="12.7109375" style="0" customWidth="1"/>
  </cols>
  <sheetData>
    <row r="1" spans="1:10" ht="23.25" customHeight="1" thickTop="1">
      <c r="A1" s="2"/>
      <c r="B1" s="26"/>
      <c r="C1" s="7"/>
      <c r="D1" s="445" t="s">
        <v>120</v>
      </c>
      <c r="E1" s="446"/>
      <c r="F1" s="347"/>
      <c r="G1" s="26"/>
      <c r="H1" s="447" t="s">
        <v>121</v>
      </c>
      <c r="I1" s="448"/>
      <c r="J1" s="449"/>
    </row>
    <row r="2" spans="1:10" ht="15.75">
      <c r="A2" s="6" t="s">
        <v>122</v>
      </c>
      <c r="B2" s="37" t="s">
        <v>123</v>
      </c>
      <c r="C2" s="27" t="s">
        <v>124</v>
      </c>
      <c r="D2" s="237" t="s">
        <v>340</v>
      </c>
      <c r="E2" s="427" t="s">
        <v>341</v>
      </c>
      <c r="F2" s="348" t="s">
        <v>122</v>
      </c>
      <c r="G2" s="31" t="s">
        <v>125</v>
      </c>
      <c r="H2" s="27" t="s">
        <v>124</v>
      </c>
      <c r="I2" s="98" t="s">
        <v>340</v>
      </c>
      <c r="J2" s="356" t="s">
        <v>341</v>
      </c>
    </row>
    <row r="3" spans="1:10" ht="16.5" thickBot="1">
      <c r="A3" s="5"/>
      <c r="B3" s="179" t="s">
        <v>243</v>
      </c>
      <c r="C3" s="28" t="s">
        <v>126</v>
      </c>
      <c r="D3" s="238"/>
      <c r="E3" s="428"/>
      <c r="F3" s="349"/>
      <c r="G3" s="180" t="s">
        <v>243</v>
      </c>
      <c r="H3" s="28" t="s">
        <v>126</v>
      </c>
      <c r="I3" s="99"/>
      <c r="J3" s="357"/>
    </row>
    <row r="4" spans="1:10" ht="24" customHeight="1">
      <c r="A4" s="3">
        <v>1</v>
      </c>
      <c r="B4" s="30" t="s">
        <v>302</v>
      </c>
      <c r="C4" s="29" t="s">
        <v>95</v>
      </c>
      <c r="D4" s="239">
        <f>'Önálló intézmények bevétele'!F17-'Önálló intézmények bevétele'!E17</f>
        <v>664709</v>
      </c>
      <c r="E4" s="429">
        <f>'Önálló intézmények bevétele'!K17-'Önálló intézmények bevétele'!J17</f>
        <v>887418</v>
      </c>
      <c r="F4" s="350">
        <v>1</v>
      </c>
      <c r="G4" s="32" t="s">
        <v>304</v>
      </c>
      <c r="H4" s="33" t="s">
        <v>96</v>
      </c>
      <c r="I4" s="65">
        <f>'Önálló int.kiadása'!I17-'Önálló int.kiadása'!H17-'Önálló int.kiadása'!G17-'Szociálpolitikai kiadások (2)'!B17</f>
        <v>3386266</v>
      </c>
      <c r="J4" s="358">
        <f>'Önálló int.kiadása'!Q17-'Önálló int.kiadása'!P17-'Önálló int.kiadása'!O17-'Szociálpolitikai kiadások (2)'!C17</f>
        <v>3685791</v>
      </c>
    </row>
    <row r="5" spans="1:10" ht="24" customHeight="1">
      <c r="A5" s="3">
        <v>2</v>
      </c>
      <c r="B5" s="30" t="s">
        <v>303</v>
      </c>
      <c r="C5" s="29" t="s">
        <v>98</v>
      </c>
      <c r="D5" s="239">
        <f>'Részben önálló int.bevétele'!F11-'Részben önálló int.bevétele'!E11</f>
        <v>31962</v>
      </c>
      <c r="E5" s="430">
        <f>'Részben önálló int.bevétele'!K11-'Részben önálló int.bevétele'!J11</f>
        <v>40630</v>
      </c>
      <c r="F5" s="350">
        <v>2</v>
      </c>
      <c r="G5" s="32" t="s">
        <v>305</v>
      </c>
      <c r="H5" s="33" t="s">
        <v>97</v>
      </c>
      <c r="I5" s="65">
        <f>'Részben önálló int.kiadása'!H11-'Részben önálló int.kiadása'!G11</f>
        <v>242473</v>
      </c>
      <c r="J5" s="359">
        <f>'Részben önálló int.kiadása'!P11-'Részben önálló int.kiadása'!O11-'Részben önálló int.kiadása'!N11</f>
        <v>262542</v>
      </c>
    </row>
    <row r="6" spans="1:10" ht="24" customHeight="1">
      <c r="A6" s="13">
        <v>3</v>
      </c>
      <c r="B6" s="30" t="s">
        <v>130</v>
      </c>
      <c r="C6" s="29" t="s">
        <v>128</v>
      </c>
      <c r="D6" s="239">
        <f>'Helyi adóbevételek'!B10</f>
        <v>1259511</v>
      </c>
      <c r="E6" s="431">
        <f>'Helyi adóbevételek'!C10</f>
        <v>1269580</v>
      </c>
      <c r="F6" s="350">
        <v>3</v>
      </c>
      <c r="G6" s="32" t="s">
        <v>6</v>
      </c>
      <c r="H6" s="87" t="s">
        <v>127</v>
      </c>
      <c r="I6" s="65">
        <f>'Ök feladatok (2)'!H29-'Ök feladatok (2)'!G29-'Ök feladatok (2)'!E29</f>
        <v>186919</v>
      </c>
      <c r="J6" s="359">
        <f>'Ök feladatok (2)'!O29-'Ök feladatok (2)'!N29-'Ök feladatok (2)'!L29</f>
        <v>230365</v>
      </c>
    </row>
    <row r="7" spans="1:10" ht="24" customHeight="1">
      <c r="A7" s="3">
        <v>4</v>
      </c>
      <c r="B7" s="30" t="s">
        <v>230</v>
      </c>
      <c r="C7" s="63" t="s">
        <v>73</v>
      </c>
      <c r="D7" s="239">
        <f>'Egyéb bevételek (2)'!B16+'Átvett pe.'!B14</f>
        <v>168241</v>
      </c>
      <c r="E7" s="295">
        <f>'Egyéb bevételek (2)'!C16+'Átvett pe.'!C14</f>
        <v>225389</v>
      </c>
      <c r="F7" s="350">
        <v>4</v>
      </c>
      <c r="G7" s="32" t="s">
        <v>132</v>
      </c>
      <c r="H7" s="33" t="s">
        <v>129</v>
      </c>
      <c r="I7" s="65">
        <f>SUM(Városüzemeltetés!D38)</f>
        <v>446169</v>
      </c>
      <c r="J7" s="359">
        <f>SUM(Városüzemeltetés!$M38)-Városüzemeltetés!K38-Városüzemeltetés!L38</f>
        <v>476142</v>
      </c>
    </row>
    <row r="8" spans="1:10" ht="24" customHeight="1">
      <c r="A8" s="3">
        <v>5</v>
      </c>
      <c r="B8" s="30" t="s">
        <v>204</v>
      </c>
      <c r="C8" s="29" t="s">
        <v>55</v>
      </c>
      <c r="D8" s="240">
        <f>'Kp.-i tám.'!B18</f>
        <v>0</v>
      </c>
      <c r="E8" s="432">
        <f>'Kp.-i tám.'!C18</f>
        <v>330785</v>
      </c>
      <c r="F8" s="350">
        <v>5</v>
      </c>
      <c r="G8" s="32" t="s">
        <v>134</v>
      </c>
      <c r="H8" s="33" t="s">
        <v>131</v>
      </c>
      <c r="I8" s="65">
        <f>'Szociálpolitikai kiadások (2)'!B34</f>
        <v>134000</v>
      </c>
      <c r="J8" s="359">
        <f>'Szociálpolitikai kiadások (2)'!C34</f>
        <v>380615</v>
      </c>
    </row>
    <row r="9" spans="1:10" ht="23.25" customHeight="1">
      <c r="A9" s="3">
        <v>6</v>
      </c>
      <c r="B9" s="30" t="s">
        <v>136</v>
      </c>
      <c r="C9" s="29" t="s">
        <v>137</v>
      </c>
      <c r="D9" s="241">
        <v>1799079</v>
      </c>
      <c r="E9" s="433">
        <v>1769766</v>
      </c>
      <c r="F9" s="350">
        <v>6</v>
      </c>
      <c r="G9" s="32" t="s">
        <v>21</v>
      </c>
      <c r="H9" s="122" t="s">
        <v>133</v>
      </c>
      <c r="I9" s="65">
        <f>Pénzátadás!B22+'Ök feladatok (2)'!E29</f>
        <v>105055</v>
      </c>
      <c r="J9" s="359">
        <f>Pénzátadás!C22+'Ök feladatok (2)'!L29</f>
        <v>180582</v>
      </c>
    </row>
    <row r="10" spans="1:10" ht="24" customHeight="1">
      <c r="A10" s="3">
        <v>7</v>
      </c>
      <c r="B10" s="30" t="s">
        <v>236</v>
      </c>
      <c r="C10" s="29" t="s">
        <v>128</v>
      </c>
      <c r="D10" s="242">
        <f>'Helyi adóbevételek'!B16</f>
        <v>654764</v>
      </c>
      <c r="E10" s="432">
        <f>'Helyi adóbevételek'!C16</f>
        <v>654764</v>
      </c>
      <c r="F10" s="350">
        <v>7</v>
      </c>
      <c r="G10" s="32" t="s">
        <v>14</v>
      </c>
      <c r="H10" s="33" t="s">
        <v>135</v>
      </c>
      <c r="I10" s="65">
        <f>'Céltartalékok (2)'!B38</f>
        <v>133300</v>
      </c>
      <c r="J10" s="359">
        <f>'Céltartalékok (2)'!C38</f>
        <v>108016</v>
      </c>
    </row>
    <row r="11" spans="1:10" ht="24" customHeight="1">
      <c r="A11" s="167">
        <v>8</v>
      </c>
      <c r="B11" s="168" t="s">
        <v>290</v>
      </c>
      <c r="C11" s="169"/>
      <c r="D11" s="243">
        <v>55916</v>
      </c>
      <c r="E11" s="434">
        <v>55916</v>
      </c>
      <c r="F11" s="350"/>
      <c r="G11" s="32"/>
      <c r="H11" s="33"/>
      <c r="I11" s="86"/>
      <c r="J11" s="360"/>
    </row>
    <row r="12" spans="1:10" ht="24" customHeight="1" thickBot="1">
      <c r="A12" s="164"/>
      <c r="B12" s="165" t="s">
        <v>140</v>
      </c>
      <c r="C12" s="166"/>
      <c r="D12" s="258">
        <f>SUM(D4:D11)</f>
        <v>4634182</v>
      </c>
      <c r="E12" s="435">
        <f>SUM(E4:E11)</f>
        <v>5234248</v>
      </c>
      <c r="F12" s="350"/>
      <c r="G12" s="257" t="s">
        <v>140</v>
      </c>
      <c r="H12" s="34"/>
      <c r="I12" s="259">
        <f>SUM(I4:I11)</f>
        <v>4634182</v>
      </c>
      <c r="J12" s="361">
        <f>SUM(J4:J11)</f>
        <v>5324053</v>
      </c>
    </row>
    <row r="13" spans="1:10" ht="24" customHeight="1" thickBot="1">
      <c r="A13" s="141"/>
      <c r="B13" s="181" t="s">
        <v>244</v>
      </c>
      <c r="C13" s="142"/>
      <c r="D13" s="244"/>
      <c r="E13" s="436"/>
      <c r="F13" s="351"/>
      <c r="G13" s="182" t="s">
        <v>244</v>
      </c>
      <c r="H13" s="148"/>
      <c r="I13" s="147"/>
      <c r="J13" s="362"/>
    </row>
    <row r="14" spans="1:10" ht="24" customHeight="1">
      <c r="A14" s="112">
        <v>1</v>
      </c>
      <c r="B14" s="113" t="s">
        <v>245</v>
      </c>
      <c r="C14" s="153" t="s">
        <v>139</v>
      </c>
      <c r="D14" s="245">
        <f>'Vagyonhasznositási bevétel (2)'!B20</f>
        <v>338300</v>
      </c>
      <c r="E14" s="437">
        <f>'Vagyonhasznositási bevétel (2)'!C20</f>
        <v>349130</v>
      </c>
      <c r="F14" s="350">
        <v>1</v>
      </c>
      <c r="G14" s="84" t="s">
        <v>28</v>
      </c>
      <c r="H14" s="85" t="s">
        <v>239</v>
      </c>
      <c r="I14" s="86">
        <f>'Önálló int.kiadása'!G17+'Önálló int.kiadása'!H17+'Részben önálló int.kiadása'!G11</f>
        <v>14000</v>
      </c>
      <c r="J14" s="360">
        <f>'Önálló int.kiadása'!O17+'Önálló int.kiadása'!P17+'Részben önálló int.kiadása'!N11+'Részben önálló int.kiadása'!O11</f>
        <v>74978</v>
      </c>
    </row>
    <row r="15" spans="1:10" ht="24" customHeight="1">
      <c r="A15" s="3">
        <v>2</v>
      </c>
      <c r="B15" s="30" t="s">
        <v>141</v>
      </c>
      <c r="C15" s="29" t="s">
        <v>139</v>
      </c>
      <c r="D15" s="239">
        <f>'Vagyonhasznositási bevétel (2)'!B23</f>
        <v>1500</v>
      </c>
      <c r="E15" s="54">
        <f>'Vagyonhasznositási bevétel (2)'!C23</f>
        <v>1500</v>
      </c>
      <c r="F15" s="350">
        <v>2</v>
      </c>
      <c r="G15" s="32" t="s">
        <v>208</v>
      </c>
      <c r="H15" s="88" t="s">
        <v>238</v>
      </c>
      <c r="I15" s="65">
        <f>Pénzátadás!B10+'Beruházások (2)'!B24+Felújítások!B14</f>
        <v>2216713</v>
      </c>
      <c r="J15" s="359">
        <f>Pénzátadás!C10+'Beruházások (2)'!C24+Felújítások!C14+'Ök feladatok (2)'!N29</f>
        <v>2336937</v>
      </c>
    </row>
    <row r="16" spans="1:11" ht="24" customHeight="1">
      <c r="A16" s="3">
        <v>3</v>
      </c>
      <c r="B16" s="30" t="s">
        <v>300</v>
      </c>
      <c r="C16" s="29" t="s">
        <v>74</v>
      </c>
      <c r="D16" s="246">
        <f>'Átvett pe.'!B23</f>
        <v>1642277</v>
      </c>
      <c r="E16" s="438">
        <f>'Átvett pe.'!C23</f>
        <v>1623768</v>
      </c>
      <c r="F16" s="350">
        <v>4</v>
      </c>
      <c r="G16" s="32" t="s">
        <v>142</v>
      </c>
      <c r="H16" s="88"/>
      <c r="I16" s="65">
        <v>500</v>
      </c>
      <c r="J16" s="359">
        <v>500</v>
      </c>
      <c r="K16" s="254"/>
    </row>
    <row r="17" spans="1:10" ht="23.25" customHeight="1">
      <c r="A17" s="167">
        <v>4</v>
      </c>
      <c r="B17" s="168" t="s">
        <v>289</v>
      </c>
      <c r="C17" s="173"/>
      <c r="D17" s="247">
        <v>294084</v>
      </c>
      <c r="E17" s="439">
        <f>294084+190</f>
        <v>294274</v>
      </c>
      <c r="F17" s="352">
        <v>5</v>
      </c>
      <c r="G17" s="175" t="s">
        <v>394</v>
      </c>
      <c r="H17" s="33"/>
      <c r="I17" s="65">
        <v>285000</v>
      </c>
      <c r="J17" s="363">
        <f>285000+190-132408-1387-2000-16754-103895-28746</f>
        <v>0</v>
      </c>
    </row>
    <row r="18" spans="1:10" ht="23.25" customHeight="1">
      <c r="A18" s="172">
        <v>5</v>
      </c>
      <c r="B18" s="170" t="s">
        <v>89</v>
      </c>
      <c r="C18" s="171"/>
      <c r="D18" s="248">
        <v>250052</v>
      </c>
      <c r="E18" s="440">
        <f>250052</f>
        <v>250052</v>
      </c>
      <c r="F18" s="144">
        <v>6</v>
      </c>
      <c r="G18" s="145" t="s">
        <v>138</v>
      </c>
      <c r="H18" s="176"/>
      <c r="I18" s="177">
        <v>10000</v>
      </c>
      <c r="J18" s="367">
        <f>10000+2629-4601+34679-4587+643+1569+643+4445-1227-26281-1569-176+337</f>
        <v>16504</v>
      </c>
    </row>
    <row r="19" spans="1:10" ht="24" customHeight="1">
      <c r="A19" s="112"/>
      <c r="B19" s="174" t="s">
        <v>140</v>
      </c>
      <c r="C19" s="261"/>
      <c r="D19" s="262">
        <f>D14+D15+D16+D17+D18</f>
        <v>2526213</v>
      </c>
      <c r="E19" s="441">
        <f>SUM(E14:E18)</f>
        <v>2518724</v>
      </c>
      <c r="F19" s="444"/>
      <c r="G19" s="255" t="s">
        <v>140</v>
      </c>
      <c r="H19" s="146"/>
      <c r="I19" s="260">
        <f>SUM(I14:I18)</f>
        <v>2526213</v>
      </c>
      <c r="J19" s="364">
        <f>SUM(J14:J18)</f>
        <v>2428919</v>
      </c>
    </row>
    <row r="20" spans="1:10" ht="24" customHeight="1" thickBot="1">
      <c r="A20" s="114"/>
      <c r="B20" s="115"/>
      <c r="C20" s="116"/>
      <c r="D20" s="249"/>
      <c r="E20" s="442"/>
      <c r="F20" s="353"/>
      <c r="G20" s="256"/>
      <c r="H20" s="35"/>
      <c r="I20" s="94"/>
      <c r="J20" s="365"/>
    </row>
    <row r="21" spans="1:10" ht="36" customHeight="1" thickBot="1">
      <c r="A21" s="4"/>
      <c r="B21" s="263" t="s">
        <v>50</v>
      </c>
      <c r="C21" s="264"/>
      <c r="D21" s="265">
        <f>D12+D19</f>
        <v>7160395</v>
      </c>
      <c r="E21" s="443">
        <f>E12+E19</f>
        <v>7752972</v>
      </c>
      <c r="F21" s="354"/>
      <c r="G21" s="50" t="s">
        <v>143</v>
      </c>
      <c r="H21" s="36"/>
      <c r="I21" s="266">
        <f>I12+I19</f>
        <v>7160395</v>
      </c>
      <c r="J21" s="366">
        <f>J12+J19</f>
        <v>7752972</v>
      </c>
    </row>
    <row r="22" ht="13.5" thickTop="1"/>
    <row r="23" spans="5:10" ht="12.75">
      <c r="E23" s="355"/>
      <c r="J23" s="59"/>
    </row>
    <row r="24" ht="12.75">
      <c r="E24" s="355"/>
    </row>
    <row r="25" ht="12.75">
      <c r="E25" s="355"/>
    </row>
    <row r="26" ht="12.75">
      <c r="E26" s="189"/>
    </row>
  </sheetData>
  <sheetProtection/>
  <mergeCells count="2">
    <mergeCell ref="D1:E1"/>
    <mergeCell ref="H1:J1"/>
  </mergeCells>
  <printOptions horizontalCentered="1"/>
  <pageMargins left="0.3937007874015748" right="0.3937007874015748" top="1.14" bottom="0.35433070866141736" header="0.5511811023622047" footer="0.5905511811023623"/>
  <pageSetup fitToHeight="1" fitToWidth="1" horizontalDpi="120" verticalDpi="120" orientation="landscape" paperSize="9" scale="94" r:id="rId1"/>
  <headerFooter alignWithMargins="0">
    <oddHeader>&amp;C&amp;"Times New Roman CE,Félkövér"&amp;18 2012. évi költségvetés
&amp;"Times New Roman CE,Normál"&amp;12/adatok ezer forintban/&amp;R&amp;"MS Sans Serif,Félkövér"&amp;12 1.sz.melléklet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pane xSplit="1" ySplit="2" topLeftCell="J3" activePane="bottomRight" state="frozen"/>
      <selection pane="topLeft" activeCell="N26" sqref="N26"/>
      <selection pane="topRight" activeCell="N26" sqref="N26"/>
      <selection pane="bottomLeft" activeCell="N26" sqref="N26"/>
      <selection pane="bottomRight" activeCell="O8" sqref="O8"/>
    </sheetView>
  </sheetViews>
  <sheetFormatPr defaultColWidth="9.140625" defaultRowHeight="12.75"/>
  <cols>
    <col min="1" max="1" width="36.57421875" style="0" bestFit="1" customWidth="1"/>
    <col min="2" max="3" width="7.421875" style="0" customWidth="1"/>
    <col min="4" max="4" width="6.421875" style="0" customWidth="1"/>
    <col min="5" max="5" width="4.57421875" style="0" customWidth="1"/>
    <col min="6" max="6" width="4.8515625" style="0" customWidth="1"/>
    <col min="7" max="7" width="5.7109375" style="0" customWidth="1"/>
    <col min="9" max="9" width="7.7109375" style="0" bestFit="1" customWidth="1"/>
    <col min="10" max="11" width="7.57421875" style="0" bestFit="1" customWidth="1"/>
    <col min="12" max="12" width="7.28125" style="0" customWidth="1"/>
    <col min="13" max="13" width="5.28125" style="0" customWidth="1"/>
    <col min="14" max="14" width="5.7109375" style="0" bestFit="1" customWidth="1"/>
    <col min="15" max="15" width="7.140625" style="0" bestFit="1" customWidth="1"/>
  </cols>
  <sheetData>
    <row r="1" spans="1:16" ht="16.5" thickTop="1">
      <c r="A1" s="18"/>
      <c r="B1" s="470" t="s">
        <v>338</v>
      </c>
      <c r="C1" s="471"/>
      <c r="D1" s="471"/>
      <c r="E1" s="471"/>
      <c r="F1" s="471"/>
      <c r="G1" s="471"/>
      <c r="H1" s="472"/>
      <c r="I1" s="470" t="s">
        <v>342</v>
      </c>
      <c r="J1" s="471"/>
      <c r="K1" s="471"/>
      <c r="L1" s="471"/>
      <c r="M1" s="471"/>
      <c r="N1" s="471"/>
      <c r="O1" s="471"/>
      <c r="P1" s="473"/>
    </row>
    <row r="2" spans="1:16" ht="74.25" customHeight="1" thickBot="1">
      <c r="A2" s="19" t="s">
        <v>144</v>
      </c>
      <c r="B2" s="16" t="s">
        <v>162</v>
      </c>
      <c r="C2" s="21" t="s">
        <v>220</v>
      </c>
      <c r="D2" s="16" t="s">
        <v>163</v>
      </c>
      <c r="E2" s="16" t="s">
        <v>164</v>
      </c>
      <c r="F2" s="16" t="s">
        <v>165</v>
      </c>
      <c r="G2" s="16" t="s">
        <v>166</v>
      </c>
      <c r="H2" s="17" t="s">
        <v>140</v>
      </c>
      <c r="I2" s="380" t="s">
        <v>162</v>
      </c>
      <c r="J2" s="21" t="s">
        <v>167</v>
      </c>
      <c r="K2" s="16" t="s">
        <v>163</v>
      </c>
      <c r="L2" s="16" t="s">
        <v>164</v>
      </c>
      <c r="M2" s="16" t="s">
        <v>165</v>
      </c>
      <c r="N2" s="21" t="s">
        <v>221</v>
      </c>
      <c r="O2" s="16" t="s">
        <v>166</v>
      </c>
      <c r="P2" s="381" t="s">
        <v>140</v>
      </c>
    </row>
    <row r="3" spans="1:16" s="73" customFormat="1" ht="18" customHeight="1">
      <c r="A3" s="20" t="s">
        <v>60</v>
      </c>
      <c r="B3" s="134">
        <v>47752</v>
      </c>
      <c r="C3" s="134">
        <v>12255</v>
      </c>
      <c r="D3" s="134">
        <v>7269</v>
      </c>
      <c r="E3" s="134"/>
      <c r="F3" s="134"/>
      <c r="G3" s="134"/>
      <c r="H3" s="119">
        <f>SUM(B3:G3)</f>
        <v>67276</v>
      </c>
      <c r="I3" s="382">
        <v>50984</v>
      </c>
      <c r="J3" s="134">
        <v>13125</v>
      </c>
      <c r="K3" s="134">
        <v>7394</v>
      </c>
      <c r="L3" s="134">
        <v>437</v>
      </c>
      <c r="M3" s="134"/>
      <c r="N3" s="134"/>
      <c r="O3" s="57">
        <v>199</v>
      </c>
      <c r="P3" s="383">
        <f>SUM(I3:O3)</f>
        <v>72139</v>
      </c>
    </row>
    <row r="4" spans="1:16" s="73" customFormat="1" ht="18" customHeight="1">
      <c r="A4" s="20" t="s">
        <v>222</v>
      </c>
      <c r="B4" s="134">
        <v>52025</v>
      </c>
      <c r="C4" s="134">
        <v>13418</v>
      </c>
      <c r="D4" s="134">
        <v>6794</v>
      </c>
      <c r="E4" s="134"/>
      <c r="F4" s="134"/>
      <c r="G4" s="134"/>
      <c r="H4" s="119">
        <f>SUM(B4:G4)</f>
        <v>72237</v>
      </c>
      <c r="I4" s="382">
        <v>54686</v>
      </c>
      <c r="J4" s="134">
        <v>14191</v>
      </c>
      <c r="K4" s="134">
        <v>7436</v>
      </c>
      <c r="L4" s="134">
        <v>745</v>
      </c>
      <c r="M4" s="134">
        <v>10</v>
      </c>
      <c r="N4" s="134"/>
      <c r="O4" s="57">
        <v>550</v>
      </c>
      <c r="P4" s="383">
        <f>SUM(I4:O4)</f>
        <v>77618</v>
      </c>
    </row>
    <row r="5" spans="1:16" s="73" customFormat="1" ht="18" customHeight="1">
      <c r="A5" s="20" t="s">
        <v>223</v>
      </c>
      <c r="B5" s="134">
        <v>51708</v>
      </c>
      <c r="C5" s="134">
        <v>13443</v>
      </c>
      <c r="D5" s="134">
        <v>21806</v>
      </c>
      <c r="E5" s="134"/>
      <c r="F5" s="134"/>
      <c r="G5" s="134"/>
      <c r="H5" s="119">
        <f>SUM(B5:G5)</f>
        <v>86957</v>
      </c>
      <c r="I5" s="382">
        <v>55926</v>
      </c>
      <c r="J5" s="134">
        <v>14457</v>
      </c>
      <c r="K5" s="134">
        <v>21849</v>
      </c>
      <c r="L5" s="134">
        <v>788</v>
      </c>
      <c r="M5" s="134"/>
      <c r="N5" s="134"/>
      <c r="O5" s="57"/>
      <c r="P5" s="383">
        <f>SUM(I5:O5)</f>
        <v>93020</v>
      </c>
    </row>
    <row r="6" spans="1:16" s="73" customFormat="1" ht="18" customHeight="1">
      <c r="A6" s="74" t="s">
        <v>29</v>
      </c>
      <c r="B6" s="90">
        <f>SUM(B3:B5)</f>
        <v>151485</v>
      </c>
      <c r="C6" s="91">
        <f aca="true" t="shared" si="0" ref="C6:H6">SUM(C3:C5)</f>
        <v>39116</v>
      </c>
      <c r="D6" s="91">
        <f t="shared" si="0"/>
        <v>35869</v>
      </c>
      <c r="E6" s="91">
        <f t="shared" si="0"/>
        <v>0</v>
      </c>
      <c r="F6" s="91">
        <f t="shared" si="0"/>
        <v>0</v>
      </c>
      <c r="G6" s="91">
        <f t="shared" si="0"/>
        <v>0</v>
      </c>
      <c r="H6" s="97">
        <f t="shared" si="0"/>
        <v>226470</v>
      </c>
      <c r="I6" s="95">
        <f>SUM(I3:I5)</f>
        <v>161596</v>
      </c>
      <c r="J6" s="96">
        <f aca="true" t="shared" si="1" ref="J6:P6">SUM(J3:J5)</f>
        <v>41773</v>
      </c>
      <c r="K6" s="96">
        <f t="shared" si="1"/>
        <v>36679</v>
      </c>
      <c r="L6" s="96">
        <f t="shared" si="1"/>
        <v>1970</v>
      </c>
      <c r="M6" s="96">
        <f t="shared" si="1"/>
        <v>10</v>
      </c>
      <c r="N6" s="96">
        <f t="shared" si="1"/>
        <v>0</v>
      </c>
      <c r="O6" s="96">
        <f t="shared" si="1"/>
        <v>749</v>
      </c>
      <c r="P6" s="384">
        <f t="shared" si="1"/>
        <v>242777</v>
      </c>
    </row>
    <row r="7" spans="1:16" s="73" customFormat="1" ht="18" customHeight="1">
      <c r="A7" s="74"/>
      <c r="B7" s="135"/>
      <c r="C7" s="136"/>
      <c r="D7" s="136"/>
      <c r="E7" s="76"/>
      <c r="F7" s="76"/>
      <c r="G7" s="76"/>
      <c r="H7" s="150">
        <f>SUM(B7:G7)</f>
        <v>0</v>
      </c>
      <c r="I7" s="385"/>
      <c r="J7" s="136"/>
      <c r="K7" s="136"/>
      <c r="L7" s="76"/>
      <c r="M7" s="76"/>
      <c r="N7" s="76"/>
      <c r="O7" s="76"/>
      <c r="P7" s="386">
        <f>SUM(I7:O7)</f>
        <v>0</v>
      </c>
    </row>
    <row r="8" spans="1:16" ht="18" customHeight="1">
      <c r="A8" s="20" t="s">
        <v>235</v>
      </c>
      <c r="B8" s="124">
        <v>8544</v>
      </c>
      <c r="C8" s="124">
        <v>2111</v>
      </c>
      <c r="D8" s="124">
        <v>5348</v>
      </c>
      <c r="E8" s="124"/>
      <c r="F8" s="124"/>
      <c r="G8" s="124">
        <v>600</v>
      </c>
      <c r="H8" s="54">
        <f>SUM(B8:G8)</f>
        <v>16603</v>
      </c>
      <c r="I8" s="376">
        <f>8544+605+363+116+125+136+178+41+403+290</f>
        <v>10801</v>
      </c>
      <c r="J8" s="124">
        <f>2111+121+98+31+25+36+161+65</f>
        <v>2648</v>
      </c>
      <c r="K8" s="124">
        <f>5348+200+700+300+125+747-355</f>
        <v>7065</v>
      </c>
      <c r="L8" s="124"/>
      <c r="M8" s="124"/>
      <c r="N8" s="124"/>
      <c r="O8" s="53">
        <f>600+245</f>
        <v>845</v>
      </c>
      <c r="P8" s="298">
        <f>SUM(I8:O8)</f>
        <v>21359</v>
      </c>
    </row>
    <row r="9" spans="1:16" ht="18" customHeight="1">
      <c r="A9" s="20"/>
      <c r="B9" s="124"/>
      <c r="C9" s="124"/>
      <c r="D9" s="124"/>
      <c r="E9" s="124"/>
      <c r="F9" s="124"/>
      <c r="G9" s="124"/>
      <c r="H9" s="54"/>
      <c r="I9" s="376"/>
      <c r="J9" s="124"/>
      <c r="K9" s="124"/>
      <c r="L9" s="53"/>
      <c r="M9" s="53"/>
      <c r="N9" s="53"/>
      <c r="O9" s="53"/>
      <c r="P9" s="298"/>
    </row>
    <row r="10" spans="1:16" s="73" customFormat="1" ht="18" customHeight="1" thickBot="1">
      <c r="A10" s="75" t="s">
        <v>12</v>
      </c>
      <c r="B10" s="81">
        <f aca="true" t="shared" si="2" ref="B10:P10">SUM(B8:B9)</f>
        <v>8544</v>
      </c>
      <c r="C10" s="82">
        <f t="shared" si="2"/>
        <v>2111</v>
      </c>
      <c r="D10" s="82">
        <f t="shared" si="2"/>
        <v>5348</v>
      </c>
      <c r="E10" s="82">
        <f t="shared" si="2"/>
        <v>0</v>
      </c>
      <c r="F10" s="82">
        <f t="shared" si="2"/>
        <v>0</v>
      </c>
      <c r="G10" s="82">
        <f t="shared" si="2"/>
        <v>600</v>
      </c>
      <c r="H10" s="83">
        <f t="shared" si="2"/>
        <v>16603</v>
      </c>
      <c r="I10" s="387">
        <f t="shared" si="2"/>
        <v>10801</v>
      </c>
      <c r="J10" s="82">
        <f t="shared" si="2"/>
        <v>2648</v>
      </c>
      <c r="K10" s="82">
        <f t="shared" si="2"/>
        <v>7065</v>
      </c>
      <c r="L10" s="82">
        <f t="shared" si="2"/>
        <v>0</v>
      </c>
      <c r="M10" s="82">
        <f t="shared" si="2"/>
        <v>0</v>
      </c>
      <c r="N10" s="82">
        <f t="shared" si="2"/>
        <v>0</v>
      </c>
      <c r="O10" s="82">
        <f t="shared" si="2"/>
        <v>845</v>
      </c>
      <c r="P10" s="388">
        <f t="shared" si="2"/>
        <v>21359</v>
      </c>
    </row>
    <row r="11" spans="1:16" ht="25.5" customHeight="1" thickBot="1">
      <c r="A11" s="67" t="s">
        <v>140</v>
      </c>
      <c r="B11" s="55">
        <f aca="true" t="shared" si="3" ref="B11:G11">SUM(B10,B6)+B7</f>
        <v>160029</v>
      </c>
      <c r="C11" s="55">
        <f t="shared" si="3"/>
        <v>41227</v>
      </c>
      <c r="D11" s="55">
        <f t="shared" si="3"/>
        <v>41217</v>
      </c>
      <c r="E11" s="55">
        <f t="shared" si="3"/>
        <v>0</v>
      </c>
      <c r="F11" s="55">
        <f t="shared" si="3"/>
        <v>0</v>
      </c>
      <c r="G11" s="55">
        <f t="shared" si="3"/>
        <v>600</v>
      </c>
      <c r="H11" s="69">
        <f>SUM(H6+H10)+H7</f>
        <v>243073</v>
      </c>
      <c r="I11" s="389">
        <f>SUM(I6+I10)+I7</f>
        <v>172397</v>
      </c>
      <c r="J11" s="55">
        <f aca="true" t="shared" si="4" ref="J11:P11">SUM(J6+J10)</f>
        <v>44421</v>
      </c>
      <c r="K11" s="55">
        <f t="shared" si="4"/>
        <v>43744</v>
      </c>
      <c r="L11" s="55">
        <f t="shared" si="4"/>
        <v>1970</v>
      </c>
      <c r="M11" s="55">
        <f t="shared" si="4"/>
        <v>10</v>
      </c>
      <c r="N11" s="55">
        <f t="shared" si="4"/>
        <v>0</v>
      </c>
      <c r="O11" s="55">
        <f t="shared" si="4"/>
        <v>1594</v>
      </c>
      <c r="P11" s="390">
        <f t="shared" si="4"/>
        <v>264136</v>
      </c>
    </row>
    <row r="12" ht="13.5" thickTop="1"/>
  </sheetData>
  <sheetProtection/>
  <mergeCells count="2">
    <mergeCell ref="B1:H1"/>
    <mergeCell ref="I1:P1"/>
  </mergeCells>
  <printOptions horizontalCentered="1"/>
  <pageMargins left="0.6692913385826772" right="0.5905511811023623" top="2" bottom="1.7322834645669292" header="0.97" footer="1.299212598425197"/>
  <pageSetup fitToHeight="1" fitToWidth="1" horizontalDpi="240" verticalDpi="240" orientation="landscape" paperSize="9" scale="97" r:id="rId1"/>
  <headerFooter alignWithMargins="0">
    <oddHeader>&amp;C&amp;"Times New Roman CE,Félkövér"&amp;16Önállóan működő intézmények kiadásai&amp;"Times New Roman CE,Normál"&amp;18
&amp;11/ ezer Ft /&amp;R&amp;"MS Sans Serif,Félkövér"&amp;12 8/b.sz.melléklet</oddHeader>
    <oddFooter>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80" zoomScaleNormal="80" zoomScalePageLayoutView="0" workbookViewId="0" topLeftCell="A1">
      <pane xSplit="1" ySplit="2" topLeftCell="B3" activePane="bottomRight" state="frozen"/>
      <selection pane="topLeft" activeCell="N26" sqref="N26"/>
      <selection pane="topRight" activeCell="N26" sqref="N26"/>
      <selection pane="bottomLeft" activeCell="N26" sqref="N26"/>
      <selection pane="bottomRight" activeCell="N43" sqref="N43"/>
    </sheetView>
  </sheetViews>
  <sheetFormatPr defaultColWidth="9.140625" defaultRowHeight="12.75"/>
  <cols>
    <col min="1" max="1" width="40.00390625" style="0" customWidth="1"/>
    <col min="2" max="4" width="8.140625" style="0" bestFit="1" customWidth="1"/>
    <col min="5" max="5" width="7.28125" style="0" bestFit="1" customWidth="1"/>
    <col min="6" max="6" width="5.140625" style="0" customWidth="1"/>
    <col min="7" max="7" width="7.28125" style="0" bestFit="1" customWidth="1"/>
    <col min="8" max="8" width="8.00390625" style="0" customWidth="1"/>
    <col min="9" max="10" width="8.140625" style="131" bestFit="1" customWidth="1"/>
    <col min="11" max="11" width="8.140625" style="131" customWidth="1"/>
    <col min="12" max="12" width="6.7109375" style="131" customWidth="1"/>
    <col min="13" max="13" width="5.28125" style="131" customWidth="1"/>
    <col min="14" max="14" width="6.7109375" style="131" customWidth="1"/>
    <col min="15" max="15" width="9.421875" style="131" customWidth="1"/>
  </cols>
  <sheetData>
    <row r="1" spans="1:15" ht="19.5" thickTop="1">
      <c r="A1" s="197"/>
      <c r="B1" s="465" t="s">
        <v>338</v>
      </c>
      <c r="C1" s="474"/>
      <c r="D1" s="474"/>
      <c r="E1" s="474"/>
      <c r="F1" s="474"/>
      <c r="G1" s="474"/>
      <c r="H1" s="475"/>
      <c r="I1" s="465" t="s">
        <v>342</v>
      </c>
      <c r="J1" s="466"/>
      <c r="K1" s="466"/>
      <c r="L1" s="466"/>
      <c r="M1" s="466"/>
      <c r="N1" s="466"/>
      <c r="O1" s="464"/>
    </row>
    <row r="2" spans="1:15" s="111" customFormat="1" ht="114.75" customHeight="1" thickBot="1">
      <c r="A2" s="108" t="s">
        <v>144</v>
      </c>
      <c r="B2" s="109" t="s">
        <v>162</v>
      </c>
      <c r="C2" s="109" t="s">
        <v>167</v>
      </c>
      <c r="D2" s="109" t="s">
        <v>168</v>
      </c>
      <c r="E2" s="109" t="s">
        <v>169</v>
      </c>
      <c r="F2" s="109" t="s">
        <v>170</v>
      </c>
      <c r="G2" s="109" t="s">
        <v>166</v>
      </c>
      <c r="H2" s="110" t="s">
        <v>140</v>
      </c>
      <c r="I2" s="268" t="s">
        <v>162</v>
      </c>
      <c r="J2" s="268" t="s">
        <v>167</v>
      </c>
      <c r="K2" s="268" t="s">
        <v>168</v>
      </c>
      <c r="L2" s="268" t="s">
        <v>169</v>
      </c>
      <c r="M2" s="268" t="s">
        <v>170</v>
      </c>
      <c r="N2" s="268" t="s">
        <v>166</v>
      </c>
      <c r="O2" s="391" t="s">
        <v>140</v>
      </c>
    </row>
    <row r="3" spans="1:15" s="131" customFormat="1" ht="24.75" customHeight="1">
      <c r="A3" s="195" t="s">
        <v>6</v>
      </c>
      <c r="B3" s="64"/>
      <c r="C3" s="64"/>
      <c r="D3" s="64"/>
      <c r="E3" s="64"/>
      <c r="F3" s="64"/>
      <c r="G3" s="64"/>
      <c r="H3" s="187"/>
      <c r="I3" s="64"/>
      <c r="J3" s="64"/>
      <c r="K3" s="64"/>
      <c r="L3" s="64"/>
      <c r="M3" s="64"/>
      <c r="N3" s="64"/>
      <c r="O3" s="305"/>
    </row>
    <row r="4" spans="1:15" s="131" customFormat="1" ht="24.75" customHeight="1">
      <c r="A4" s="15" t="s">
        <v>172</v>
      </c>
      <c r="B4" s="235">
        <v>586</v>
      </c>
      <c r="C4" s="64">
        <v>149</v>
      </c>
      <c r="D4" s="64">
        <v>24</v>
      </c>
      <c r="E4" s="64"/>
      <c r="F4" s="64"/>
      <c r="G4" s="64"/>
      <c r="H4" s="187">
        <f>SUM(B4:G4)</f>
        <v>759</v>
      </c>
      <c r="I4" s="394">
        <v>707</v>
      </c>
      <c r="J4" s="64">
        <f>149+16+16</f>
        <v>181</v>
      </c>
      <c r="K4" s="64">
        <v>24</v>
      </c>
      <c r="L4" s="64"/>
      <c r="M4" s="64"/>
      <c r="N4" s="64"/>
      <c r="O4" s="305">
        <f>SUM(I4:N4)</f>
        <v>912</v>
      </c>
    </row>
    <row r="5" spans="1:15" s="131" customFormat="1" ht="24.75" customHeight="1">
      <c r="A5" s="15" t="s">
        <v>154</v>
      </c>
      <c r="B5" s="235"/>
      <c r="C5" s="64"/>
      <c r="D5" s="64">
        <v>15748</v>
      </c>
      <c r="E5" s="64"/>
      <c r="F5" s="64"/>
      <c r="G5" s="64"/>
      <c r="H5" s="187">
        <f aca="true" t="shared" si="0" ref="H5:H50">SUM(B5:G5)</f>
        <v>15748</v>
      </c>
      <c r="I5" s="235"/>
      <c r="J5" s="64"/>
      <c r="K5" s="64">
        <v>15748</v>
      </c>
      <c r="L5" s="64"/>
      <c r="M5" s="64"/>
      <c r="N5" s="64"/>
      <c r="O5" s="305">
        <f aca="true" t="shared" si="1" ref="O5:O28">SUM(I5:N5)</f>
        <v>15748</v>
      </c>
    </row>
    <row r="6" spans="1:15" s="131" customFormat="1" ht="24.75" customHeight="1">
      <c r="A6" s="38" t="s">
        <v>57</v>
      </c>
      <c r="B6" s="235"/>
      <c r="C6" s="64"/>
      <c r="D6" s="64">
        <f>18142-3500+2500</f>
        <v>17142</v>
      </c>
      <c r="E6" s="64"/>
      <c r="F6" s="64"/>
      <c r="G6" s="64"/>
      <c r="H6" s="187">
        <f t="shared" si="0"/>
        <v>17142</v>
      </c>
      <c r="I6" s="235"/>
      <c r="J6" s="64"/>
      <c r="K6" s="64">
        <f>18142-3500+2500-1140</f>
        <v>16002</v>
      </c>
      <c r="L6" s="64"/>
      <c r="M6" s="64"/>
      <c r="N6" s="64">
        <v>1140</v>
      </c>
      <c r="O6" s="305">
        <f t="shared" si="1"/>
        <v>17142</v>
      </c>
    </row>
    <row r="7" spans="1:15" s="131" customFormat="1" ht="24.75" customHeight="1">
      <c r="A7" s="15" t="s">
        <v>175</v>
      </c>
      <c r="B7" s="235">
        <v>5809</v>
      </c>
      <c r="C7" s="64">
        <v>1656</v>
      </c>
      <c r="D7" s="64">
        <v>585</v>
      </c>
      <c r="E7" s="64"/>
      <c r="F7" s="64"/>
      <c r="G7" s="64"/>
      <c r="H7" s="187">
        <f t="shared" si="0"/>
        <v>8050</v>
      </c>
      <c r="I7" s="235">
        <f>5809+230+166+191</f>
        <v>6396</v>
      </c>
      <c r="J7" s="64">
        <f>1656+62+44+51</f>
        <v>1813</v>
      </c>
      <c r="K7" s="64">
        <v>585</v>
      </c>
      <c r="L7" s="64"/>
      <c r="M7" s="64"/>
      <c r="N7" s="64"/>
      <c r="O7" s="305">
        <f t="shared" si="1"/>
        <v>8794</v>
      </c>
    </row>
    <row r="8" spans="1:15" s="131" customFormat="1" ht="24.75" customHeight="1">
      <c r="A8" s="38" t="s">
        <v>209</v>
      </c>
      <c r="B8" s="235"/>
      <c r="C8" s="64"/>
      <c r="D8" s="64">
        <v>4500</v>
      </c>
      <c r="E8" s="64"/>
      <c r="F8" s="64"/>
      <c r="G8" s="64"/>
      <c r="H8" s="187">
        <f t="shared" si="0"/>
        <v>4500</v>
      </c>
      <c r="I8" s="235"/>
      <c r="J8" s="64"/>
      <c r="K8" s="64">
        <v>4500</v>
      </c>
      <c r="L8" s="64"/>
      <c r="M8" s="64"/>
      <c r="N8" s="64"/>
      <c r="O8" s="305">
        <f t="shared" si="1"/>
        <v>4500</v>
      </c>
    </row>
    <row r="9" spans="1:15" s="131" customFormat="1" ht="24.75" customHeight="1">
      <c r="A9" s="15" t="s">
        <v>156</v>
      </c>
      <c r="B9" s="235"/>
      <c r="C9" s="64"/>
      <c r="D9" s="64">
        <v>300</v>
      </c>
      <c r="E9" s="64">
        <v>1200</v>
      </c>
      <c r="F9" s="64"/>
      <c r="G9" s="64"/>
      <c r="H9" s="187">
        <f t="shared" si="0"/>
        <v>1500</v>
      </c>
      <c r="I9" s="235"/>
      <c r="J9" s="64"/>
      <c r="K9" s="64">
        <v>300</v>
      </c>
      <c r="L9" s="64">
        <f>1200+122</f>
        <v>1322</v>
      </c>
      <c r="M9" s="64"/>
      <c r="N9" s="64"/>
      <c r="O9" s="305">
        <f t="shared" si="1"/>
        <v>1622</v>
      </c>
    </row>
    <row r="10" spans="1:15" s="131" customFormat="1" ht="24.75" customHeight="1">
      <c r="A10" s="38" t="s">
        <v>185</v>
      </c>
      <c r="B10" s="235"/>
      <c r="C10" s="64"/>
      <c r="D10" s="64">
        <v>4500</v>
      </c>
      <c r="E10" s="64"/>
      <c r="F10" s="64"/>
      <c r="G10" s="64"/>
      <c r="H10" s="187">
        <f t="shared" si="0"/>
        <v>4500</v>
      </c>
      <c r="I10" s="235"/>
      <c r="J10" s="64"/>
      <c r="K10" s="64">
        <v>4500</v>
      </c>
      <c r="L10" s="64"/>
      <c r="M10" s="64"/>
      <c r="N10" s="64"/>
      <c r="O10" s="305">
        <f t="shared" si="1"/>
        <v>4500</v>
      </c>
    </row>
    <row r="11" spans="1:15" s="131" customFormat="1" ht="24.75" customHeight="1">
      <c r="A11" s="38" t="s">
        <v>275</v>
      </c>
      <c r="B11" s="235">
        <f>6404+9200-3143</f>
        <v>12461</v>
      </c>
      <c r="C11" s="64">
        <f>2484+1177-860+374</f>
        <v>3175</v>
      </c>
      <c r="D11" s="64">
        <f>763-140-374</f>
        <v>249</v>
      </c>
      <c r="E11" s="64"/>
      <c r="F11" s="64"/>
      <c r="G11" s="64"/>
      <c r="H11" s="187">
        <f t="shared" si="0"/>
        <v>15885</v>
      </c>
      <c r="I11" s="235">
        <f>6404+9200-3143+388</f>
        <v>12849</v>
      </c>
      <c r="J11" s="64">
        <f>2484+1177-860+374+52</f>
        <v>3227</v>
      </c>
      <c r="K11" s="64">
        <f>763-140-374</f>
        <v>249</v>
      </c>
      <c r="L11" s="395">
        <f>385+1698+3369</f>
        <v>5452</v>
      </c>
      <c r="M11" s="64"/>
      <c r="N11" s="64"/>
      <c r="O11" s="305">
        <f t="shared" si="1"/>
        <v>21777</v>
      </c>
    </row>
    <row r="12" spans="1:15" s="131" customFormat="1" ht="24.75" customHeight="1">
      <c r="A12" s="38" t="s">
        <v>205</v>
      </c>
      <c r="B12" s="235"/>
      <c r="C12" s="64"/>
      <c r="D12" s="64">
        <v>18952</v>
      </c>
      <c r="E12" s="64"/>
      <c r="F12" s="64"/>
      <c r="G12" s="64"/>
      <c r="H12" s="187">
        <f t="shared" si="0"/>
        <v>18952</v>
      </c>
      <c r="I12" s="235"/>
      <c r="J12" s="64"/>
      <c r="K12" s="64">
        <f>18952+17327+10830</f>
        <v>47109</v>
      </c>
      <c r="L12" s="64"/>
      <c r="M12" s="64"/>
      <c r="N12" s="64"/>
      <c r="O12" s="305">
        <f t="shared" si="1"/>
        <v>47109</v>
      </c>
    </row>
    <row r="13" spans="1:15" s="131" customFormat="1" ht="24.75" customHeight="1">
      <c r="A13" s="15" t="s">
        <v>179</v>
      </c>
      <c r="B13" s="235">
        <v>5810</v>
      </c>
      <c r="C13" s="64">
        <v>1496</v>
      </c>
      <c r="D13" s="64">
        <v>18728</v>
      </c>
      <c r="E13" s="64"/>
      <c r="F13" s="64"/>
      <c r="G13" s="64"/>
      <c r="H13" s="187">
        <f t="shared" si="0"/>
        <v>26034</v>
      </c>
      <c r="I13" s="235">
        <f>5810+68+246+79+285</f>
        <v>6488</v>
      </c>
      <c r="J13" s="64">
        <f>1496+19+66+21+77</f>
        <v>1679</v>
      </c>
      <c r="K13" s="64">
        <f>18728+459</f>
        <v>19187</v>
      </c>
      <c r="L13" s="64"/>
      <c r="M13" s="64"/>
      <c r="N13" s="64"/>
      <c r="O13" s="305">
        <f t="shared" si="1"/>
        <v>27354</v>
      </c>
    </row>
    <row r="14" spans="1:15" s="131" customFormat="1" ht="24.75" customHeight="1">
      <c r="A14" s="38" t="s">
        <v>210</v>
      </c>
      <c r="B14" s="235">
        <v>4874</v>
      </c>
      <c r="C14" s="64">
        <v>1262</v>
      </c>
      <c r="D14" s="64">
        <v>1600</v>
      </c>
      <c r="E14" s="64"/>
      <c r="F14" s="64"/>
      <c r="G14" s="64"/>
      <c r="H14" s="187">
        <f t="shared" si="0"/>
        <v>7736</v>
      </c>
      <c r="I14" s="235">
        <f>4874+80+92+155</f>
        <v>5201</v>
      </c>
      <c r="J14" s="64">
        <f>1262+22+25</f>
        <v>1309</v>
      </c>
      <c r="K14" s="64">
        <f>1600+900+164</f>
        <v>2664</v>
      </c>
      <c r="L14" s="64"/>
      <c r="M14" s="64"/>
      <c r="N14" s="64"/>
      <c r="O14" s="305">
        <f t="shared" si="1"/>
        <v>9174</v>
      </c>
    </row>
    <row r="15" spans="1:15" s="131" customFormat="1" ht="24.75" customHeight="1">
      <c r="A15" s="38" t="s">
        <v>207</v>
      </c>
      <c r="B15" s="235">
        <v>2398</v>
      </c>
      <c r="C15" s="64">
        <v>601</v>
      </c>
      <c r="D15" s="64">
        <v>47</v>
      </c>
      <c r="E15" s="64"/>
      <c r="F15" s="64"/>
      <c r="G15" s="64"/>
      <c r="H15" s="187">
        <f t="shared" si="0"/>
        <v>3046</v>
      </c>
      <c r="I15" s="235">
        <f>2398+65+76</f>
        <v>2539</v>
      </c>
      <c r="J15" s="64">
        <f>601+17+21</f>
        <v>639</v>
      </c>
      <c r="K15" s="64">
        <v>47</v>
      </c>
      <c r="L15" s="64"/>
      <c r="M15" s="64"/>
      <c r="N15" s="64"/>
      <c r="O15" s="305">
        <f t="shared" si="1"/>
        <v>3225</v>
      </c>
    </row>
    <row r="16" spans="1:15" s="131" customFormat="1" ht="24.75" customHeight="1">
      <c r="A16" s="38" t="s">
        <v>192</v>
      </c>
      <c r="B16" s="235"/>
      <c r="C16" s="64"/>
      <c r="D16" s="64">
        <v>2500</v>
      </c>
      <c r="E16" s="64"/>
      <c r="F16" s="64"/>
      <c r="G16" s="64"/>
      <c r="H16" s="187">
        <f t="shared" si="0"/>
        <v>2500</v>
      </c>
      <c r="I16" s="235"/>
      <c r="J16" s="64"/>
      <c r="K16" s="64">
        <v>2500</v>
      </c>
      <c r="L16" s="64"/>
      <c r="M16" s="64"/>
      <c r="N16" s="64"/>
      <c r="O16" s="305">
        <f t="shared" si="1"/>
        <v>2500</v>
      </c>
    </row>
    <row r="17" spans="1:15" s="131" customFormat="1" ht="24.75" customHeight="1">
      <c r="A17" s="38" t="s">
        <v>90</v>
      </c>
      <c r="B17" s="235"/>
      <c r="C17" s="64"/>
      <c r="D17" s="64">
        <v>7500</v>
      </c>
      <c r="E17" s="64"/>
      <c r="F17" s="64"/>
      <c r="G17" s="64"/>
      <c r="H17" s="187">
        <f t="shared" si="0"/>
        <v>7500</v>
      </c>
      <c r="I17" s="235"/>
      <c r="J17" s="64"/>
      <c r="K17" s="64">
        <f>7500-2170</f>
        <v>5330</v>
      </c>
      <c r="L17" s="395">
        <v>2170</v>
      </c>
      <c r="M17" s="64"/>
      <c r="N17" s="64"/>
      <c r="O17" s="305">
        <f t="shared" si="1"/>
        <v>7500</v>
      </c>
    </row>
    <row r="18" spans="1:15" s="131" customFormat="1" ht="24.75" customHeight="1">
      <c r="A18" s="38" t="s">
        <v>269</v>
      </c>
      <c r="B18" s="235">
        <v>720</v>
      </c>
      <c r="C18" s="64">
        <v>194</v>
      </c>
      <c r="D18" s="64">
        <f>30694+659</f>
        <v>31353</v>
      </c>
      <c r="E18" s="64"/>
      <c r="F18" s="64"/>
      <c r="G18" s="64"/>
      <c r="H18" s="187">
        <f t="shared" si="0"/>
        <v>32267</v>
      </c>
      <c r="I18" s="235">
        <v>720</v>
      </c>
      <c r="J18" s="64">
        <v>194</v>
      </c>
      <c r="K18" s="64">
        <f>30694+659+2881</f>
        <v>34234</v>
      </c>
      <c r="L18" s="64"/>
      <c r="M18" s="64"/>
      <c r="N18" s="64"/>
      <c r="O18" s="305">
        <f t="shared" si="1"/>
        <v>35148</v>
      </c>
    </row>
    <row r="19" spans="1:15" s="131" customFormat="1" ht="24.75" customHeight="1">
      <c r="A19" s="38" t="s">
        <v>68</v>
      </c>
      <c r="B19" s="235"/>
      <c r="C19" s="64"/>
      <c r="D19" s="64">
        <v>1000</v>
      </c>
      <c r="E19" s="64"/>
      <c r="F19" s="64"/>
      <c r="G19" s="64"/>
      <c r="H19" s="187">
        <f t="shared" si="0"/>
        <v>1000</v>
      </c>
      <c r="I19" s="235"/>
      <c r="J19" s="64"/>
      <c r="K19" s="64">
        <v>1000</v>
      </c>
      <c r="L19" s="64"/>
      <c r="M19" s="64"/>
      <c r="N19" s="64"/>
      <c r="O19" s="305">
        <f t="shared" si="1"/>
        <v>1000</v>
      </c>
    </row>
    <row r="20" spans="1:15" s="131" customFormat="1" ht="24.75" customHeight="1">
      <c r="A20" s="38" t="s">
        <v>369</v>
      </c>
      <c r="B20" s="235"/>
      <c r="C20" s="64"/>
      <c r="D20" s="64"/>
      <c r="E20" s="64"/>
      <c r="F20" s="64"/>
      <c r="G20" s="64"/>
      <c r="H20" s="187">
        <f t="shared" si="0"/>
        <v>0</v>
      </c>
      <c r="I20" s="235">
        <f>31+57+14</f>
        <v>102</v>
      </c>
      <c r="J20" s="64">
        <f>9+16+4</f>
        <v>29</v>
      </c>
      <c r="K20" s="64"/>
      <c r="L20" s="64"/>
      <c r="M20" s="64"/>
      <c r="N20" s="64"/>
      <c r="O20" s="305">
        <f t="shared" si="1"/>
        <v>131</v>
      </c>
    </row>
    <row r="21" spans="1:15" s="131" customFormat="1" ht="24.75" customHeight="1">
      <c r="A21" s="38" t="s">
        <v>105</v>
      </c>
      <c r="B21" s="235"/>
      <c r="C21" s="64"/>
      <c r="D21" s="64">
        <v>1600</v>
      </c>
      <c r="E21" s="64"/>
      <c r="F21" s="64"/>
      <c r="G21" s="64"/>
      <c r="H21" s="187">
        <f t="shared" si="0"/>
        <v>1600</v>
      </c>
      <c r="I21" s="235"/>
      <c r="J21" s="64"/>
      <c r="K21" s="64">
        <v>1600</v>
      </c>
      <c r="L21" s="64"/>
      <c r="M21" s="64"/>
      <c r="N21" s="64"/>
      <c r="O21" s="305">
        <f t="shared" si="1"/>
        <v>1600</v>
      </c>
    </row>
    <row r="22" spans="1:15" s="131" customFormat="1" ht="24.75" customHeight="1">
      <c r="A22" s="38" t="s">
        <v>103</v>
      </c>
      <c r="B22" s="235">
        <v>13230</v>
      </c>
      <c r="C22" s="64">
        <v>3170</v>
      </c>
      <c r="D22" s="64">
        <v>600</v>
      </c>
      <c r="E22" s="64"/>
      <c r="F22" s="64"/>
      <c r="G22" s="64"/>
      <c r="H22" s="187">
        <f t="shared" si="0"/>
        <v>17000</v>
      </c>
      <c r="I22" s="235">
        <f>13230+1345+176+39+182</f>
        <v>14972</v>
      </c>
      <c r="J22" s="64">
        <f>3170+363+48+10+49</f>
        <v>3640</v>
      </c>
      <c r="K22" s="64">
        <v>600</v>
      </c>
      <c r="L22" s="64"/>
      <c r="M22" s="64"/>
      <c r="N22" s="64"/>
      <c r="O22" s="305">
        <f t="shared" si="1"/>
        <v>19212</v>
      </c>
    </row>
    <row r="23" spans="1:15" s="131" customFormat="1" ht="24.75" customHeight="1">
      <c r="A23" s="89" t="s">
        <v>11</v>
      </c>
      <c r="B23" s="235"/>
      <c r="C23" s="64"/>
      <c r="D23" s="64">
        <v>2400</v>
      </c>
      <c r="E23" s="64"/>
      <c r="F23" s="64"/>
      <c r="G23" s="64"/>
      <c r="H23" s="187">
        <f>SUM(B23:G23)</f>
        <v>2400</v>
      </c>
      <c r="I23" s="235"/>
      <c r="J23" s="64"/>
      <c r="K23" s="64">
        <v>2400</v>
      </c>
      <c r="L23" s="64"/>
      <c r="M23" s="64"/>
      <c r="N23" s="64"/>
      <c r="O23" s="305">
        <f>SUM(I23:N23)</f>
        <v>2400</v>
      </c>
    </row>
    <row r="24" spans="1:15" s="131" customFormat="1" ht="24.75" customHeight="1">
      <c r="A24" s="38" t="s">
        <v>276</v>
      </c>
      <c r="B24" s="235"/>
      <c r="C24" s="64"/>
      <c r="D24" s="64"/>
      <c r="E24" s="64"/>
      <c r="F24" s="64"/>
      <c r="G24" s="64"/>
      <c r="H24" s="187">
        <f t="shared" si="0"/>
        <v>0</v>
      </c>
      <c r="I24" s="235"/>
      <c r="J24" s="64"/>
      <c r="K24" s="64">
        <f>65+929</f>
        <v>994</v>
      </c>
      <c r="L24" s="64"/>
      <c r="M24" s="64"/>
      <c r="N24" s="64"/>
      <c r="O24" s="305">
        <f t="shared" si="1"/>
        <v>994</v>
      </c>
    </row>
    <row r="25" spans="1:15" s="131" customFormat="1" ht="24.75" customHeight="1">
      <c r="A25" s="38" t="s">
        <v>370</v>
      </c>
      <c r="B25" s="235"/>
      <c r="C25" s="64"/>
      <c r="D25" s="64"/>
      <c r="E25" s="64"/>
      <c r="F25" s="64"/>
      <c r="G25" s="64"/>
      <c r="H25" s="187">
        <f t="shared" si="0"/>
        <v>0</v>
      </c>
      <c r="I25" s="235"/>
      <c r="J25" s="64"/>
      <c r="K25" s="395">
        <f>569+781</f>
        <v>1350</v>
      </c>
      <c r="L25" s="64"/>
      <c r="M25" s="64"/>
      <c r="N25" s="64"/>
      <c r="O25" s="305">
        <f t="shared" si="1"/>
        <v>1350</v>
      </c>
    </row>
    <row r="26" spans="1:15" s="131" customFormat="1" ht="24.75" customHeight="1">
      <c r="A26" s="38" t="s">
        <v>373</v>
      </c>
      <c r="B26" s="235"/>
      <c r="C26" s="64"/>
      <c r="D26" s="64"/>
      <c r="E26" s="64"/>
      <c r="F26" s="64"/>
      <c r="G26" s="64"/>
      <c r="H26" s="187">
        <f t="shared" si="0"/>
        <v>0</v>
      </c>
      <c r="I26" s="235"/>
      <c r="J26" s="64"/>
      <c r="K26" s="64">
        <f>332</f>
        <v>332</v>
      </c>
      <c r="L26" s="64"/>
      <c r="M26" s="64"/>
      <c r="N26" s="64"/>
      <c r="O26" s="305">
        <f t="shared" si="1"/>
        <v>332</v>
      </c>
    </row>
    <row r="27" spans="1:15" s="131" customFormat="1" ht="24.75" customHeight="1">
      <c r="A27" s="38" t="s">
        <v>381</v>
      </c>
      <c r="B27" s="235"/>
      <c r="C27" s="64"/>
      <c r="D27" s="64"/>
      <c r="E27" s="64"/>
      <c r="F27" s="64"/>
      <c r="G27" s="64"/>
      <c r="H27" s="187">
        <f t="shared" si="0"/>
        <v>0</v>
      </c>
      <c r="I27" s="235"/>
      <c r="J27" s="64"/>
      <c r="K27" s="64">
        <v>925</v>
      </c>
      <c r="L27" s="64"/>
      <c r="M27" s="64"/>
      <c r="N27" s="64"/>
      <c r="O27" s="305">
        <f t="shared" si="1"/>
        <v>925</v>
      </c>
    </row>
    <row r="28" spans="1:15" s="131" customFormat="1" ht="24.75" customHeight="1">
      <c r="A28" s="38" t="s">
        <v>383</v>
      </c>
      <c r="B28" s="235"/>
      <c r="C28" s="64"/>
      <c r="D28" s="64"/>
      <c r="E28" s="64"/>
      <c r="F28" s="64"/>
      <c r="G28" s="64"/>
      <c r="H28" s="187"/>
      <c r="I28" s="235"/>
      <c r="J28" s="64"/>
      <c r="K28" s="64">
        <f>1500+4000</f>
        <v>5500</v>
      </c>
      <c r="L28" s="64"/>
      <c r="M28" s="64"/>
      <c r="N28" s="64"/>
      <c r="O28" s="305">
        <f t="shared" si="1"/>
        <v>5500</v>
      </c>
    </row>
    <row r="29" spans="1:15" s="186" customFormat="1" ht="24.75" customHeight="1">
      <c r="A29" s="195" t="s">
        <v>320</v>
      </c>
      <c r="B29" s="137">
        <f aca="true" t="shared" si="2" ref="B29:G29">SUM(B3:B28)</f>
        <v>45888</v>
      </c>
      <c r="C29" s="137">
        <f t="shared" si="2"/>
        <v>11703</v>
      </c>
      <c r="D29" s="137">
        <f t="shared" si="2"/>
        <v>129328</v>
      </c>
      <c r="E29" s="137">
        <f t="shared" si="2"/>
        <v>1200</v>
      </c>
      <c r="F29" s="137">
        <f t="shared" si="2"/>
        <v>0</v>
      </c>
      <c r="G29" s="137">
        <f t="shared" si="2"/>
        <v>0</v>
      </c>
      <c r="H29" s="280">
        <f t="shared" si="0"/>
        <v>188119</v>
      </c>
      <c r="I29" s="137">
        <f aca="true" t="shared" si="3" ref="I29:N29">SUM(I3:I28)</f>
        <v>49974</v>
      </c>
      <c r="J29" s="137">
        <f t="shared" si="3"/>
        <v>12711</v>
      </c>
      <c r="K29" s="137">
        <f t="shared" si="3"/>
        <v>167680</v>
      </c>
      <c r="L29" s="137">
        <f t="shared" si="3"/>
        <v>8944</v>
      </c>
      <c r="M29" s="137">
        <f t="shared" si="3"/>
        <v>0</v>
      </c>
      <c r="N29" s="137">
        <f t="shared" si="3"/>
        <v>1140</v>
      </c>
      <c r="O29" s="361">
        <f>SUM(I29:N29)</f>
        <v>240449</v>
      </c>
    </row>
    <row r="30" spans="1:15" s="131" customFormat="1" ht="24.75" customHeight="1">
      <c r="A30" s="270"/>
      <c r="B30" s="120"/>
      <c r="C30" s="120"/>
      <c r="D30" s="120"/>
      <c r="E30" s="120"/>
      <c r="F30" s="120"/>
      <c r="G30" s="120"/>
      <c r="H30" s="271"/>
      <c r="I30" s="120"/>
      <c r="J30" s="120"/>
      <c r="K30" s="120"/>
      <c r="L30" s="120"/>
      <c r="M30" s="120"/>
      <c r="N30" s="120"/>
      <c r="O30" s="392"/>
    </row>
    <row r="31" spans="1:15" s="131" customFormat="1" ht="24.75" customHeight="1">
      <c r="A31" s="195" t="s">
        <v>318</v>
      </c>
      <c r="B31" s="64"/>
      <c r="C31" s="64"/>
      <c r="D31" s="64"/>
      <c r="E31" s="64"/>
      <c r="F31" s="64"/>
      <c r="G31" s="64"/>
      <c r="H31" s="187"/>
      <c r="I31" s="64"/>
      <c r="J31" s="64"/>
      <c r="K31" s="64"/>
      <c r="L31" s="64"/>
      <c r="M31" s="64"/>
      <c r="N31" s="64"/>
      <c r="O31" s="305"/>
    </row>
    <row r="32" spans="1:15" s="131" customFormat="1" ht="24.75" customHeight="1">
      <c r="A32" s="15" t="s">
        <v>174</v>
      </c>
      <c r="B32" s="235">
        <v>9648</v>
      </c>
      <c r="C32" s="64">
        <v>2443</v>
      </c>
      <c r="D32" s="64">
        <v>968</v>
      </c>
      <c r="E32" s="64"/>
      <c r="F32" s="64"/>
      <c r="G32" s="64"/>
      <c r="H32" s="187">
        <f aca="true" t="shared" si="4" ref="H32:H49">SUM(B32:G32)</f>
        <v>13059</v>
      </c>
      <c r="I32" s="235">
        <f>9648+47+61</f>
        <v>9756</v>
      </c>
      <c r="J32" s="64">
        <f>2443+12+17</f>
        <v>2472</v>
      </c>
      <c r="K32" s="64">
        <v>968</v>
      </c>
      <c r="L32" s="64"/>
      <c r="M32" s="64"/>
      <c r="N32" s="64"/>
      <c r="O32" s="305">
        <f aca="true" t="shared" si="5" ref="O32:O49">SUM(I32:N32)</f>
        <v>13196</v>
      </c>
    </row>
    <row r="33" spans="1:15" s="131" customFormat="1" ht="24.75" customHeight="1">
      <c r="A33" s="15" t="s">
        <v>176</v>
      </c>
      <c r="B33" s="235">
        <v>1861</v>
      </c>
      <c r="C33" s="64">
        <v>484</v>
      </c>
      <c r="D33" s="64">
        <f>5357+47</f>
        <v>5404</v>
      </c>
      <c r="E33" s="64"/>
      <c r="F33" s="64"/>
      <c r="G33" s="64"/>
      <c r="H33" s="187">
        <f t="shared" si="4"/>
        <v>7749</v>
      </c>
      <c r="I33" s="235">
        <f>1861+77+89</f>
        <v>2027</v>
      </c>
      <c r="J33" s="64">
        <f>484+21+24</f>
        <v>529</v>
      </c>
      <c r="K33" s="64">
        <f>5357+47</f>
        <v>5404</v>
      </c>
      <c r="L33" s="64"/>
      <c r="M33" s="64"/>
      <c r="N33" s="64"/>
      <c r="O33" s="305">
        <f t="shared" si="5"/>
        <v>7960</v>
      </c>
    </row>
    <row r="34" spans="1:15" s="131" customFormat="1" ht="24.75" customHeight="1">
      <c r="A34" s="15" t="s">
        <v>151</v>
      </c>
      <c r="B34" s="235">
        <v>233165</v>
      </c>
      <c r="C34" s="64">
        <v>58766</v>
      </c>
      <c r="D34" s="64">
        <v>63409</v>
      </c>
      <c r="E34" s="64"/>
      <c r="F34" s="64"/>
      <c r="G34" s="64"/>
      <c r="H34" s="187">
        <f t="shared" si="4"/>
        <v>355340</v>
      </c>
      <c r="I34" s="235">
        <v>249971</v>
      </c>
      <c r="J34" s="64">
        <v>63305</v>
      </c>
      <c r="K34" s="64">
        <v>67998</v>
      </c>
      <c r="L34" s="64">
        <v>1726</v>
      </c>
      <c r="M34" s="64"/>
      <c r="N34" s="64"/>
      <c r="O34" s="305">
        <f t="shared" si="5"/>
        <v>383000</v>
      </c>
    </row>
    <row r="35" spans="1:15" s="131" customFormat="1" ht="24.75" customHeight="1">
      <c r="A35" s="38" t="s">
        <v>36</v>
      </c>
      <c r="B35" s="235">
        <v>30</v>
      </c>
      <c r="C35" s="64"/>
      <c r="D35" s="64">
        <f>2882+924</f>
        <v>3806</v>
      </c>
      <c r="E35" s="64"/>
      <c r="F35" s="64"/>
      <c r="G35" s="64"/>
      <c r="H35" s="187">
        <f t="shared" si="4"/>
        <v>3836</v>
      </c>
      <c r="I35" s="235">
        <v>30</v>
      </c>
      <c r="J35" s="64"/>
      <c r="K35" s="64">
        <f>2882+924</f>
        <v>3806</v>
      </c>
      <c r="L35" s="64"/>
      <c r="M35" s="64"/>
      <c r="N35" s="64"/>
      <c r="O35" s="305">
        <f t="shared" si="5"/>
        <v>3836</v>
      </c>
    </row>
    <row r="36" spans="1:15" s="131" customFormat="1" ht="24.75" customHeight="1">
      <c r="A36" s="38" t="s">
        <v>177</v>
      </c>
      <c r="B36" s="235">
        <v>17502</v>
      </c>
      <c r="C36" s="64">
        <v>4565</v>
      </c>
      <c r="D36" s="64">
        <v>1384</v>
      </c>
      <c r="E36" s="64"/>
      <c r="F36" s="64"/>
      <c r="G36" s="64"/>
      <c r="H36" s="187">
        <f t="shared" si="4"/>
        <v>23451</v>
      </c>
      <c r="I36" s="235">
        <f>17502+125+161</f>
        <v>17788</v>
      </c>
      <c r="J36" s="64">
        <f>4565+33+43</f>
        <v>4641</v>
      </c>
      <c r="K36" s="64">
        <v>1384</v>
      </c>
      <c r="L36" s="64"/>
      <c r="M36" s="64"/>
      <c r="N36" s="64"/>
      <c r="O36" s="305">
        <f t="shared" si="5"/>
        <v>23813</v>
      </c>
    </row>
    <row r="37" spans="1:15" s="131" customFormat="1" ht="24.75" customHeight="1">
      <c r="A37" s="38" t="s">
        <v>228</v>
      </c>
      <c r="B37" s="235">
        <v>24644</v>
      </c>
      <c r="C37" s="64">
        <v>6054</v>
      </c>
      <c r="D37" s="64">
        <v>1241</v>
      </c>
      <c r="E37" s="64"/>
      <c r="F37" s="64"/>
      <c r="G37" s="64"/>
      <c r="H37" s="187">
        <f t="shared" si="4"/>
        <v>31939</v>
      </c>
      <c r="I37" s="235">
        <f>24644+216+257</f>
        <v>25117</v>
      </c>
      <c r="J37" s="64">
        <f>6054+58+69</f>
        <v>6181</v>
      </c>
      <c r="K37" s="64">
        <f>1241+1000</f>
        <v>2241</v>
      </c>
      <c r="L37" s="64"/>
      <c r="M37" s="64"/>
      <c r="N37" s="64">
        <v>800</v>
      </c>
      <c r="O37" s="305">
        <f t="shared" si="5"/>
        <v>34339</v>
      </c>
    </row>
    <row r="38" spans="1:15" s="131" customFormat="1" ht="24.75" customHeight="1">
      <c r="A38" s="15" t="s">
        <v>178</v>
      </c>
      <c r="B38" s="235">
        <v>6514</v>
      </c>
      <c r="C38" s="64">
        <v>1653</v>
      </c>
      <c r="D38" s="64">
        <v>898</v>
      </c>
      <c r="E38" s="64"/>
      <c r="F38" s="64"/>
      <c r="G38" s="64"/>
      <c r="H38" s="187">
        <f t="shared" si="4"/>
        <v>9065</v>
      </c>
      <c r="I38" s="235">
        <v>6514</v>
      </c>
      <c r="J38" s="64">
        <v>1653</v>
      </c>
      <c r="K38" s="64">
        <f>898+93+800</f>
        <v>1791</v>
      </c>
      <c r="L38" s="64"/>
      <c r="M38" s="64"/>
      <c r="N38" s="64"/>
      <c r="O38" s="305">
        <f t="shared" si="5"/>
        <v>9958</v>
      </c>
    </row>
    <row r="39" spans="1:15" s="131" customFormat="1" ht="24.75" customHeight="1">
      <c r="A39" s="38" t="s">
        <v>217</v>
      </c>
      <c r="B39" s="235">
        <v>6018</v>
      </c>
      <c r="C39" s="64">
        <v>1588</v>
      </c>
      <c r="D39" s="64">
        <v>700</v>
      </c>
      <c r="E39" s="64"/>
      <c r="F39" s="64"/>
      <c r="G39" s="64"/>
      <c r="H39" s="187">
        <f t="shared" si="4"/>
        <v>8306</v>
      </c>
      <c r="I39" s="235">
        <f>6018+12</f>
        <v>6030</v>
      </c>
      <c r="J39" s="64">
        <f>1588+3</f>
        <v>1591</v>
      </c>
      <c r="K39" s="64">
        <f>700+100</f>
        <v>800</v>
      </c>
      <c r="L39" s="64"/>
      <c r="M39" s="64"/>
      <c r="N39" s="64"/>
      <c r="O39" s="305">
        <f t="shared" si="5"/>
        <v>8421</v>
      </c>
    </row>
    <row r="40" spans="1:15" s="131" customFormat="1" ht="24.75" customHeight="1">
      <c r="A40" s="38" t="s">
        <v>183</v>
      </c>
      <c r="B40" s="235">
        <v>25000</v>
      </c>
      <c r="C40" s="64">
        <v>6750</v>
      </c>
      <c r="D40" s="64">
        <v>2700</v>
      </c>
      <c r="E40" s="64"/>
      <c r="F40" s="64"/>
      <c r="G40" s="64"/>
      <c r="H40" s="187">
        <f t="shared" si="4"/>
        <v>34450</v>
      </c>
      <c r="I40" s="235">
        <v>25000</v>
      </c>
      <c r="J40" s="64">
        <v>6750</v>
      </c>
      <c r="K40" s="64">
        <v>2700</v>
      </c>
      <c r="L40" s="64"/>
      <c r="M40" s="64"/>
      <c r="N40" s="64"/>
      <c r="O40" s="305">
        <f t="shared" si="5"/>
        <v>34450</v>
      </c>
    </row>
    <row r="41" spans="1:15" s="131" customFormat="1" ht="24.75" customHeight="1">
      <c r="A41" s="38" t="s">
        <v>298</v>
      </c>
      <c r="B41" s="235">
        <v>3143</v>
      </c>
      <c r="C41" s="64">
        <v>860</v>
      </c>
      <c r="D41" s="64">
        <v>140</v>
      </c>
      <c r="E41" s="188"/>
      <c r="F41" s="64"/>
      <c r="G41" s="64"/>
      <c r="H41" s="187">
        <f t="shared" si="4"/>
        <v>4143</v>
      </c>
      <c r="I41" s="235">
        <f>3143+186+272</f>
        <v>3601</v>
      </c>
      <c r="J41" s="64">
        <f>860+50+74</f>
        <v>984</v>
      </c>
      <c r="K41" s="64">
        <v>140</v>
      </c>
      <c r="L41" s="188"/>
      <c r="M41" s="64"/>
      <c r="N41" s="64"/>
      <c r="O41" s="305">
        <f t="shared" si="5"/>
        <v>4725</v>
      </c>
    </row>
    <row r="42" spans="1:15" s="131" customFormat="1" ht="24.75" customHeight="1">
      <c r="A42" s="38" t="s">
        <v>35</v>
      </c>
      <c r="B42" s="124">
        <v>1402</v>
      </c>
      <c r="C42" s="64">
        <v>366</v>
      </c>
      <c r="D42" s="64">
        <v>4000</v>
      </c>
      <c r="E42" s="64"/>
      <c r="F42" s="64"/>
      <c r="G42" s="64"/>
      <c r="H42" s="187">
        <f t="shared" si="4"/>
        <v>5768</v>
      </c>
      <c r="I42" s="124">
        <v>1421</v>
      </c>
      <c r="J42" s="64">
        <v>371</v>
      </c>
      <c r="K42" s="64">
        <v>9389</v>
      </c>
      <c r="L42" s="64"/>
      <c r="M42" s="64"/>
      <c r="N42" s="64">
        <v>1123</v>
      </c>
      <c r="O42" s="305">
        <f t="shared" si="5"/>
        <v>12304</v>
      </c>
    </row>
    <row r="43" spans="1:15" s="131" customFormat="1" ht="24.75" customHeight="1">
      <c r="A43" s="38" t="s">
        <v>219</v>
      </c>
      <c r="B43" s="235">
        <v>1603</v>
      </c>
      <c r="C43" s="64">
        <v>415</v>
      </c>
      <c r="D43" s="64">
        <f>47+6109</f>
        <v>6156</v>
      </c>
      <c r="E43" s="64"/>
      <c r="F43" s="64"/>
      <c r="G43" s="64"/>
      <c r="H43" s="187">
        <f t="shared" si="4"/>
        <v>8174</v>
      </c>
      <c r="I43" s="235">
        <f>1603+153+82+89</f>
        <v>1927</v>
      </c>
      <c r="J43" s="64">
        <f>415+43+22+24</f>
        <v>504</v>
      </c>
      <c r="K43" s="64">
        <f>47+6109</f>
        <v>6156</v>
      </c>
      <c r="L43" s="64"/>
      <c r="M43" s="64"/>
      <c r="N43" s="64"/>
      <c r="O43" s="305">
        <f t="shared" si="5"/>
        <v>8587</v>
      </c>
    </row>
    <row r="44" spans="1:15" s="131" customFormat="1" ht="24.75" customHeight="1">
      <c r="A44" s="38" t="s">
        <v>191</v>
      </c>
      <c r="B44" s="235">
        <v>27807</v>
      </c>
      <c r="C44" s="64">
        <v>7226</v>
      </c>
      <c r="D44" s="64">
        <v>5012</v>
      </c>
      <c r="E44" s="64"/>
      <c r="F44" s="64"/>
      <c r="G44" s="64"/>
      <c r="H44" s="187">
        <f t="shared" si="4"/>
        <v>40045</v>
      </c>
      <c r="I44" s="235">
        <f>27807+535+65+587+78</f>
        <v>29072</v>
      </c>
      <c r="J44" s="64">
        <f>7226+144+18+158+21</f>
        <v>7567</v>
      </c>
      <c r="K44" s="64">
        <v>5012</v>
      </c>
      <c r="L44" s="64"/>
      <c r="M44" s="64"/>
      <c r="N44" s="64"/>
      <c r="O44" s="305">
        <f t="shared" si="5"/>
        <v>41651</v>
      </c>
    </row>
    <row r="45" spans="1:15" s="131" customFormat="1" ht="24.75" customHeight="1">
      <c r="A45" s="38" t="s">
        <v>0</v>
      </c>
      <c r="B45" s="235">
        <v>1100</v>
      </c>
      <c r="C45" s="64">
        <v>297</v>
      </c>
      <c r="D45" s="64">
        <v>649</v>
      </c>
      <c r="E45" s="64"/>
      <c r="F45" s="64"/>
      <c r="G45" s="64"/>
      <c r="H45" s="187">
        <f t="shared" si="4"/>
        <v>2046</v>
      </c>
      <c r="I45" s="235">
        <v>1100</v>
      </c>
      <c r="J45" s="64">
        <v>297</v>
      </c>
      <c r="K45" s="64">
        <v>649</v>
      </c>
      <c r="L45" s="64"/>
      <c r="M45" s="64"/>
      <c r="N45" s="64"/>
      <c r="O45" s="305">
        <f t="shared" si="5"/>
        <v>2046</v>
      </c>
    </row>
    <row r="46" spans="1:15" s="131" customFormat="1" ht="24.75" customHeight="1">
      <c r="A46" s="38" t="s">
        <v>252</v>
      </c>
      <c r="B46" s="235"/>
      <c r="C46" s="64"/>
      <c r="D46" s="64">
        <v>2500</v>
      </c>
      <c r="E46" s="64"/>
      <c r="F46" s="64"/>
      <c r="G46" s="64">
        <v>400</v>
      </c>
      <c r="H46" s="187">
        <f t="shared" si="4"/>
        <v>2900</v>
      </c>
      <c r="I46" s="235">
        <f>6993+2050+2152+3727</f>
        <v>14922</v>
      </c>
      <c r="J46" s="64">
        <f>1888+553+581+1006</f>
        <v>4028</v>
      </c>
      <c r="K46" s="64">
        <v>2500</v>
      </c>
      <c r="L46" s="64"/>
      <c r="M46" s="64"/>
      <c r="N46" s="64">
        <v>400</v>
      </c>
      <c r="O46" s="305">
        <f t="shared" si="5"/>
        <v>21850</v>
      </c>
    </row>
    <row r="47" spans="1:15" s="131" customFormat="1" ht="24.75" customHeight="1">
      <c r="A47" s="38" t="s">
        <v>37</v>
      </c>
      <c r="B47" s="235"/>
      <c r="C47" s="64"/>
      <c r="D47" s="64">
        <v>6200</v>
      </c>
      <c r="E47" s="64"/>
      <c r="F47" s="64"/>
      <c r="G47" s="64"/>
      <c r="H47" s="187">
        <f t="shared" si="4"/>
        <v>6200</v>
      </c>
      <c r="I47" s="235"/>
      <c r="J47" s="64"/>
      <c r="K47" s="64">
        <v>6200</v>
      </c>
      <c r="L47" s="64"/>
      <c r="M47" s="64"/>
      <c r="N47" s="64"/>
      <c r="O47" s="305">
        <f t="shared" si="5"/>
        <v>6200</v>
      </c>
    </row>
    <row r="48" spans="1:15" s="131" customFormat="1" ht="24.75" customHeight="1">
      <c r="A48" s="89" t="s">
        <v>253</v>
      </c>
      <c r="B48" s="235"/>
      <c r="C48" s="64"/>
      <c r="D48" s="64">
        <f>11212+961+243+300+400</f>
        <v>13116</v>
      </c>
      <c r="E48" s="64"/>
      <c r="F48" s="64"/>
      <c r="G48" s="64"/>
      <c r="H48" s="187">
        <f t="shared" si="4"/>
        <v>13116</v>
      </c>
      <c r="I48" s="235"/>
      <c r="J48" s="64"/>
      <c r="K48" s="64">
        <f>11212+961+243+300+400</f>
        <v>13116</v>
      </c>
      <c r="L48" s="64"/>
      <c r="M48" s="64"/>
      <c r="N48" s="64"/>
      <c r="O48" s="305">
        <f t="shared" si="5"/>
        <v>13116</v>
      </c>
    </row>
    <row r="49" spans="1:15" s="186" customFormat="1" ht="24.75" customHeight="1" thickBot="1">
      <c r="A49" s="208" t="s">
        <v>319</v>
      </c>
      <c r="B49" s="137">
        <f aca="true" t="shared" si="6" ref="B49:G49">SUM(B32:B48)</f>
        <v>359437</v>
      </c>
      <c r="C49" s="137">
        <f t="shared" si="6"/>
        <v>91467</v>
      </c>
      <c r="D49" s="137">
        <f t="shared" si="6"/>
        <v>118283</v>
      </c>
      <c r="E49" s="137">
        <f t="shared" si="6"/>
        <v>0</v>
      </c>
      <c r="F49" s="137">
        <f t="shared" si="6"/>
        <v>0</v>
      </c>
      <c r="G49" s="137">
        <f t="shared" si="6"/>
        <v>400</v>
      </c>
      <c r="H49" s="280">
        <f t="shared" si="4"/>
        <v>569587</v>
      </c>
      <c r="I49" s="281">
        <f aca="true" t="shared" si="7" ref="I49:N49">SUM(I32:I48)</f>
        <v>394276</v>
      </c>
      <c r="J49" s="282">
        <f t="shared" si="7"/>
        <v>100873</v>
      </c>
      <c r="K49" s="137">
        <f t="shared" si="7"/>
        <v>130254</v>
      </c>
      <c r="L49" s="137">
        <f t="shared" si="7"/>
        <v>1726</v>
      </c>
      <c r="M49" s="137">
        <f t="shared" si="7"/>
        <v>0</v>
      </c>
      <c r="N49" s="137">
        <f t="shared" si="7"/>
        <v>2323</v>
      </c>
      <c r="O49" s="361">
        <f t="shared" si="5"/>
        <v>629452</v>
      </c>
    </row>
    <row r="50" spans="1:15" s="186" customFormat="1" ht="28.5" customHeight="1" thickBot="1">
      <c r="A50" s="283" t="s">
        <v>140</v>
      </c>
      <c r="B50" s="284">
        <f aca="true" t="shared" si="8" ref="B50:G50">B29+B49</f>
        <v>405325</v>
      </c>
      <c r="C50" s="279">
        <f t="shared" si="8"/>
        <v>103170</v>
      </c>
      <c r="D50" s="279">
        <f t="shared" si="8"/>
        <v>247611</v>
      </c>
      <c r="E50" s="279">
        <f t="shared" si="8"/>
        <v>1200</v>
      </c>
      <c r="F50" s="279">
        <f t="shared" si="8"/>
        <v>0</v>
      </c>
      <c r="G50" s="279">
        <f t="shared" si="8"/>
        <v>400</v>
      </c>
      <c r="H50" s="285">
        <f t="shared" si="0"/>
        <v>757706</v>
      </c>
      <c r="I50" s="284">
        <f aca="true" t="shared" si="9" ref="I50:N50">I29+I49</f>
        <v>444250</v>
      </c>
      <c r="J50" s="279">
        <f t="shared" si="9"/>
        <v>113584</v>
      </c>
      <c r="K50" s="279">
        <f t="shared" si="9"/>
        <v>297934</v>
      </c>
      <c r="L50" s="279">
        <f t="shared" si="9"/>
        <v>10670</v>
      </c>
      <c r="M50" s="279">
        <f t="shared" si="9"/>
        <v>0</v>
      </c>
      <c r="N50" s="279">
        <f t="shared" si="9"/>
        <v>3463</v>
      </c>
      <c r="O50" s="393">
        <f>SUM(I50:N50)</f>
        <v>869901</v>
      </c>
    </row>
    <row r="51" ht="13.5" thickTop="1">
      <c r="O51" s="189"/>
    </row>
  </sheetData>
  <sheetProtection/>
  <mergeCells count="2">
    <mergeCell ref="B1:H1"/>
    <mergeCell ref="I1:O1"/>
  </mergeCells>
  <printOptions gridLines="1" horizontalCentered="1"/>
  <pageMargins left="0.25" right="0.27" top="0.58" bottom="0.37" header="0.25" footer="0.18"/>
  <pageSetup blackAndWhite="1" fitToHeight="1" fitToWidth="1" horizontalDpi="240" verticalDpi="240" orientation="portrait" paperSize="9" scale="59" r:id="rId1"/>
  <headerFooter alignWithMargins="0">
    <oddHeader>&amp;C&amp;"Times New Roman CE,Félkövér"&amp;16Önkormányzati feladatok&amp;"Times New Roman CE,Normál"&amp;18
&amp;11/ ezer Ft /&amp;R&amp;"MS Sans Serif,Félkövér"&amp;12 8.sz.melléklet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pane xSplit="1" ySplit="2" topLeftCell="I18" activePane="bottomRight" state="frozen"/>
      <selection pane="topLeft" activeCell="N26" sqref="N26"/>
      <selection pane="topRight" activeCell="N26" sqref="N26"/>
      <selection pane="bottomLeft" activeCell="N26" sqref="N26"/>
      <selection pane="bottomRight" activeCell="N5" sqref="N5"/>
    </sheetView>
  </sheetViews>
  <sheetFormatPr defaultColWidth="9.140625" defaultRowHeight="12.75"/>
  <cols>
    <col min="1" max="1" width="49.57421875" style="0" customWidth="1"/>
    <col min="2" max="3" width="6.7109375" style="0" customWidth="1"/>
    <col min="4" max="4" width="7.7109375" style="0" customWidth="1"/>
    <col min="5" max="6" width="6.7109375" style="0" customWidth="1"/>
    <col min="7" max="7" width="7.57421875" style="0" customWidth="1"/>
    <col min="8" max="9" width="6.7109375" style="0" customWidth="1"/>
    <col min="10" max="10" width="7.7109375" style="131" customWidth="1"/>
    <col min="11" max="12" width="6.7109375" style="131" customWidth="1"/>
    <col min="13" max="13" width="7.57421875" style="131" customWidth="1"/>
  </cols>
  <sheetData>
    <row r="1" spans="1:13" ht="19.5" thickTop="1">
      <c r="A1" s="22"/>
      <c r="B1" s="465" t="s">
        <v>338</v>
      </c>
      <c r="C1" s="474"/>
      <c r="D1" s="474"/>
      <c r="E1" s="474"/>
      <c r="F1" s="474"/>
      <c r="G1" s="475"/>
      <c r="H1" s="465" t="s">
        <v>342</v>
      </c>
      <c r="I1" s="474"/>
      <c r="J1" s="474"/>
      <c r="K1" s="474"/>
      <c r="L1" s="474"/>
      <c r="M1" s="476"/>
    </row>
    <row r="2" spans="1:13" ht="89.25" customHeight="1" thickBot="1">
      <c r="A2" s="14" t="s">
        <v>144</v>
      </c>
      <c r="B2" s="16" t="s">
        <v>162</v>
      </c>
      <c r="C2" s="16" t="s">
        <v>167</v>
      </c>
      <c r="D2" s="16" t="s">
        <v>168</v>
      </c>
      <c r="E2" s="16" t="s">
        <v>169</v>
      </c>
      <c r="F2" s="16" t="s">
        <v>170</v>
      </c>
      <c r="G2" s="24" t="s">
        <v>140</v>
      </c>
      <c r="H2" s="16" t="s">
        <v>162</v>
      </c>
      <c r="I2" s="16" t="s">
        <v>167</v>
      </c>
      <c r="J2" s="132" t="s">
        <v>168</v>
      </c>
      <c r="K2" s="132" t="s">
        <v>169</v>
      </c>
      <c r="L2" s="133" t="s">
        <v>180</v>
      </c>
      <c r="M2" s="396" t="s">
        <v>140</v>
      </c>
    </row>
    <row r="3" spans="1:13" ht="21.75" customHeight="1">
      <c r="A3" s="39" t="s">
        <v>291</v>
      </c>
      <c r="B3" s="53"/>
      <c r="C3" s="53"/>
      <c r="D3" s="64">
        <v>1000</v>
      </c>
      <c r="E3" s="64"/>
      <c r="F3" s="53"/>
      <c r="G3" s="54">
        <f aca="true" t="shared" si="0" ref="G3:G38">SUM(B3:F3)</f>
        <v>1000</v>
      </c>
      <c r="H3" s="53"/>
      <c r="I3" s="53"/>
      <c r="J3" s="64">
        <v>1000</v>
      </c>
      <c r="K3" s="64"/>
      <c r="L3" s="124"/>
      <c r="M3" s="305">
        <f aca="true" t="shared" si="1" ref="M3:M38">SUM(H3:L3)</f>
        <v>1000</v>
      </c>
    </row>
    <row r="4" spans="1:13" ht="21.75" customHeight="1">
      <c r="A4" s="39" t="s">
        <v>254</v>
      </c>
      <c r="B4" s="53"/>
      <c r="C4" s="53"/>
      <c r="D4" s="64">
        <v>20000</v>
      </c>
      <c r="E4" s="64"/>
      <c r="F4" s="53"/>
      <c r="G4" s="54">
        <f t="shared" si="0"/>
        <v>20000</v>
      </c>
      <c r="H4" s="53"/>
      <c r="I4" s="53"/>
      <c r="J4" s="64">
        <v>20000</v>
      </c>
      <c r="K4" s="64"/>
      <c r="L4" s="124"/>
      <c r="M4" s="305">
        <f t="shared" si="1"/>
        <v>20000</v>
      </c>
    </row>
    <row r="5" spans="1:13" ht="21.75" customHeight="1">
      <c r="A5" s="39" t="s">
        <v>255</v>
      </c>
      <c r="B5" s="53"/>
      <c r="C5" s="53"/>
      <c r="D5" s="64">
        <v>48000</v>
      </c>
      <c r="E5" s="64"/>
      <c r="F5" s="53"/>
      <c r="G5" s="54">
        <f t="shared" si="0"/>
        <v>48000</v>
      </c>
      <c r="H5" s="53"/>
      <c r="I5" s="53"/>
      <c r="J5" s="64">
        <v>48000</v>
      </c>
      <c r="K5" s="64"/>
      <c r="L5" s="124"/>
      <c r="M5" s="305">
        <f t="shared" si="1"/>
        <v>48000</v>
      </c>
    </row>
    <row r="6" spans="1:13" ht="21.75" customHeight="1">
      <c r="A6" s="25" t="s">
        <v>181</v>
      </c>
      <c r="B6" s="53"/>
      <c r="C6" s="53"/>
      <c r="D6" s="64">
        <v>46000</v>
      </c>
      <c r="E6" s="64"/>
      <c r="F6" s="53"/>
      <c r="G6" s="54">
        <f t="shared" si="0"/>
        <v>46000</v>
      </c>
      <c r="H6" s="53"/>
      <c r="I6" s="53"/>
      <c r="J6" s="64">
        <v>46000</v>
      </c>
      <c r="K6" s="64"/>
      <c r="L6" s="124"/>
      <c r="M6" s="305">
        <f t="shared" si="1"/>
        <v>46000</v>
      </c>
    </row>
    <row r="7" spans="1:13" ht="21.75" customHeight="1">
      <c r="A7" s="39" t="s">
        <v>216</v>
      </c>
      <c r="B7" s="53"/>
      <c r="C7" s="53"/>
      <c r="D7" s="64">
        <v>130000</v>
      </c>
      <c r="E7" s="64"/>
      <c r="F7" s="53"/>
      <c r="G7" s="54">
        <f t="shared" si="0"/>
        <v>130000</v>
      </c>
      <c r="H7" s="53"/>
      <c r="I7" s="53"/>
      <c r="J7" s="64">
        <v>130000</v>
      </c>
      <c r="K7" s="64"/>
      <c r="L7" s="124"/>
      <c r="M7" s="305">
        <f t="shared" si="1"/>
        <v>130000</v>
      </c>
    </row>
    <row r="8" spans="1:13" ht="21.75" customHeight="1">
      <c r="A8" s="39" t="s">
        <v>32</v>
      </c>
      <c r="B8" s="53"/>
      <c r="C8" s="53"/>
      <c r="D8" s="64">
        <v>5500</v>
      </c>
      <c r="E8" s="64"/>
      <c r="F8" s="53"/>
      <c r="G8" s="54">
        <f t="shared" si="0"/>
        <v>5500</v>
      </c>
      <c r="H8" s="53"/>
      <c r="I8" s="53"/>
      <c r="J8" s="64">
        <f>5500+3437+416+135</f>
        <v>9488</v>
      </c>
      <c r="K8" s="64"/>
      <c r="L8" s="124"/>
      <c r="M8" s="305">
        <f t="shared" si="1"/>
        <v>9488</v>
      </c>
    </row>
    <row r="9" spans="1:13" ht="21.75" customHeight="1">
      <c r="A9" s="39" t="s">
        <v>76</v>
      </c>
      <c r="B9" s="53"/>
      <c r="C9" s="53"/>
      <c r="D9" s="64">
        <v>5000</v>
      </c>
      <c r="E9" s="64"/>
      <c r="F9" s="53"/>
      <c r="G9" s="54">
        <f t="shared" si="0"/>
        <v>5000</v>
      </c>
      <c r="H9" s="53"/>
      <c r="I9" s="53"/>
      <c r="J9" s="64">
        <f>5000+342</f>
        <v>5342</v>
      </c>
      <c r="K9" s="64"/>
      <c r="L9" s="124"/>
      <c r="M9" s="305">
        <f t="shared" si="1"/>
        <v>5342</v>
      </c>
    </row>
    <row r="10" spans="1:13" ht="21.75" customHeight="1">
      <c r="A10" s="39" t="s">
        <v>77</v>
      </c>
      <c r="B10" s="53"/>
      <c r="C10" s="53"/>
      <c r="D10" s="64">
        <v>10000</v>
      </c>
      <c r="E10" s="64"/>
      <c r="F10" s="53"/>
      <c r="G10" s="54">
        <f t="shared" si="0"/>
        <v>10000</v>
      </c>
      <c r="H10" s="53"/>
      <c r="I10" s="53"/>
      <c r="J10" s="64">
        <v>10000</v>
      </c>
      <c r="K10" s="64"/>
      <c r="L10" s="124"/>
      <c r="M10" s="305">
        <f t="shared" si="1"/>
        <v>10000</v>
      </c>
    </row>
    <row r="11" spans="1:13" ht="21.75" customHeight="1">
      <c r="A11" s="39" t="s">
        <v>38</v>
      </c>
      <c r="B11" s="53"/>
      <c r="C11" s="53"/>
      <c r="D11" s="64">
        <v>15000</v>
      </c>
      <c r="E11" s="64"/>
      <c r="F11" s="53"/>
      <c r="G11" s="54">
        <f t="shared" si="0"/>
        <v>15000</v>
      </c>
      <c r="H11" s="53"/>
      <c r="I11" s="53"/>
      <c r="J11" s="64">
        <f>15000+2231</f>
        <v>17231</v>
      </c>
      <c r="K11" s="64"/>
      <c r="L11" s="124"/>
      <c r="M11" s="305">
        <f t="shared" si="1"/>
        <v>17231</v>
      </c>
    </row>
    <row r="12" spans="1:13" ht="21.75" customHeight="1">
      <c r="A12" s="39" t="s">
        <v>2</v>
      </c>
      <c r="B12" s="53"/>
      <c r="C12" s="53"/>
      <c r="D12" s="64">
        <v>72000</v>
      </c>
      <c r="E12" s="64"/>
      <c r="F12" s="53"/>
      <c r="G12" s="54">
        <f t="shared" si="0"/>
        <v>72000</v>
      </c>
      <c r="H12" s="53"/>
      <c r="I12" s="53"/>
      <c r="J12" s="64">
        <f>72000+5000</f>
        <v>77000</v>
      </c>
      <c r="K12" s="64"/>
      <c r="L12" s="124"/>
      <c r="M12" s="305">
        <f t="shared" si="1"/>
        <v>77000</v>
      </c>
    </row>
    <row r="13" spans="1:13" ht="21.75" customHeight="1">
      <c r="A13" s="39" t="s">
        <v>256</v>
      </c>
      <c r="B13" s="53"/>
      <c r="C13" s="53"/>
      <c r="D13" s="64">
        <v>19280</v>
      </c>
      <c r="E13" s="64"/>
      <c r="F13" s="53"/>
      <c r="G13" s="54">
        <f t="shared" si="0"/>
        <v>19280</v>
      </c>
      <c r="H13" s="53"/>
      <c r="I13" s="53"/>
      <c r="J13" s="64">
        <v>19280</v>
      </c>
      <c r="K13" s="64"/>
      <c r="L13" s="124"/>
      <c r="M13" s="305">
        <f t="shared" si="1"/>
        <v>19280</v>
      </c>
    </row>
    <row r="14" spans="1:13" ht="21.75" customHeight="1">
      <c r="A14" s="39" t="s">
        <v>58</v>
      </c>
      <c r="B14" s="53"/>
      <c r="C14" s="53"/>
      <c r="D14" s="64">
        <v>7000</v>
      </c>
      <c r="E14" s="64"/>
      <c r="F14" s="53"/>
      <c r="G14" s="54">
        <f t="shared" si="0"/>
        <v>7000</v>
      </c>
      <c r="H14" s="53"/>
      <c r="I14" s="53"/>
      <c r="J14" s="64">
        <f>7000+1500</f>
        <v>8500</v>
      </c>
      <c r="K14" s="64"/>
      <c r="L14" s="124"/>
      <c r="M14" s="305">
        <f>SUM(H14:L14)</f>
        <v>8500</v>
      </c>
    </row>
    <row r="15" spans="1:13" ht="21.75" customHeight="1">
      <c r="A15" s="62" t="s">
        <v>39</v>
      </c>
      <c r="B15" s="53"/>
      <c r="C15" s="53"/>
      <c r="D15" s="64">
        <v>13600</v>
      </c>
      <c r="E15" s="64"/>
      <c r="F15" s="53"/>
      <c r="G15" s="54">
        <f t="shared" si="0"/>
        <v>13600</v>
      </c>
      <c r="H15" s="53"/>
      <c r="I15" s="53"/>
      <c r="J15" s="64">
        <v>13600</v>
      </c>
      <c r="K15" s="64"/>
      <c r="L15" s="124"/>
      <c r="M15" s="305">
        <f t="shared" si="1"/>
        <v>13600</v>
      </c>
    </row>
    <row r="16" spans="1:13" ht="21.75" customHeight="1">
      <c r="A16" s="62" t="s">
        <v>1</v>
      </c>
      <c r="B16" s="53"/>
      <c r="C16" s="53"/>
      <c r="D16" s="64">
        <v>5670</v>
      </c>
      <c r="E16" s="64"/>
      <c r="F16" s="53"/>
      <c r="G16" s="54">
        <f t="shared" si="0"/>
        <v>5670</v>
      </c>
      <c r="H16" s="53"/>
      <c r="I16" s="53"/>
      <c r="J16" s="64">
        <v>5670</v>
      </c>
      <c r="K16" s="64"/>
      <c r="L16" s="124"/>
      <c r="M16" s="305">
        <f t="shared" si="1"/>
        <v>5670</v>
      </c>
    </row>
    <row r="17" spans="1:13" ht="21.75" customHeight="1">
      <c r="A17" s="62" t="s">
        <v>271</v>
      </c>
      <c r="B17" s="53"/>
      <c r="C17" s="53"/>
      <c r="D17" s="64">
        <v>750</v>
      </c>
      <c r="E17" s="64"/>
      <c r="F17" s="53"/>
      <c r="G17" s="54">
        <f t="shared" si="0"/>
        <v>750</v>
      </c>
      <c r="H17" s="53"/>
      <c r="I17" s="53"/>
      <c r="J17" s="64">
        <v>750</v>
      </c>
      <c r="K17" s="64"/>
      <c r="L17" s="124"/>
      <c r="M17" s="305">
        <f t="shared" si="1"/>
        <v>750</v>
      </c>
    </row>
    <row r="18" spans="1:13" ht="21.75" customHeight="1">
      <c r="A18" s="62" t="s">
        <v>7</v>
      </c>
      <c r="B18" s="53"/>
      <c r="C18" s="53"/>
      <c r="D18" s="64">
        <v>8000</v>
      </c>
      <c r="E18" s="64"/>
      <c r="F18" s="53"/>
      <c r="G18" s="54">
        <f t="shared" si="0"/>
        <v>8000</v>
      </c>
      <c r="H18" s="53"/>
      <c r="I18" s="53"/>
      <c r="J18" s="64">
        <f>8000+691</f>
        <v>8691</v>
      </c>
      <c r="K18" s="64"/>
      <c r="L18" s="124"/>
      <c r="M18" s="305">
        <f t="shared" si="1"/>
        <v>8691</v>
      </c>
    </row>
    <row r="19" spans="1:13" ht="21.75" customHeight="1">
      <c r="A19" s="62" t="s">
        <v>33</v>
      </c>
      <c r="B19" s="53"/>
      <c r="C19" s="53"/>
      <c r="D19" s="64">
        <v>7400</v>
      </c>
      <c r="E19" s="64"/>
      <c r="F19" s="53"/>
      <c r="G19" s="54">
        <f t="shared" si="0"/>
        <v>7400</v>
      </c>
      <c r="H19" s="53"/>
      <c r="I19" s="53"/>
      <c r="J19" s="64">
        <f>7400+3491</f>
        <v>10891</v>
      </c>
      <c r="K19" s="64"/>
      <c r="L19" s="124"/>
      <c r="M19" s="305">
        <f t="shared" si="1"/>
        <v>10891</v>
      </c>
    </row>
    <row r="20" spans="1:13" ht="21.75" customHeight="1">
      <c r="A20" s="62" t="s">
        <v>40</v>
      </c>
      <c r="B20" s="53"/>
      <c r="C20" s="53"/>
      <c r="D20" s="64">
        <v>2581</v>
      </c>
      <c r="E20" s="64"/>
      <c r="F20" s="53"/>
      <c r="G20" s="54">
        <f t="shared" si="0"/>
        <v>2581</v>
      </c>
      <c r="H20" s="53"/>
      <c r="I20" s="53"/>
      <c r="J20" s="64">
        <v>2581</v>
      </c>
      <c r="K20" s="64"/>
      <c r="L20" s="124"/>
      <c r="M20" s="305">
        <f t="shared" si="1"/>
        <v>2581</v>
      </c>
    </row>
    <row r="21" spans="1:13" ht="21.75" customHeight="1">
      <c r="A21" s="62" t="s">
        <v>54</v>
      </c>
      <c r="B21" s="53"/>
      <c r="C21" s="53"/>
      <c r="D21" s="64">
        <v>2000</v>
      </c>
      <c r="E21" s="64"/>
      <c r="F21" s="53"/>
      <c r="G21" s="54">
        <f t="shared" si="0"/>
        <v>2000</v>
      </c>
      <c r="H21" s="53"/>
      <c r="I21" s="53"/>
      <c r="J21" s="64">
        <f>2000+1016+381+762</f>
        <v>4159</v>
      </c>
      <c r="K21" s="64"/>
      <c r="L21" s="124"/>
      <c r="M21" s="305">
        <f t="shared" si="1"/>
        <v>4159</v>
      </c>
    </row>
    <row r="22" spans="1:13" ht="21.75" customHeight="1">
      <c r="A22" s="62" t="s">
        <v>257</v>
      </c>
      <c r="B22" s="53"/>
      <c r="C22" s="53"/>
      <c r="D22" s="64">
        <v>3000</v>
      </c>
      <c r="E22" s="64"/>
      <c r="F22" s="53"/>
      <c r="G22" s="54">
        <f t="shared" si="0"/>
        <v>3000</v>
      </c>
      <c r="H22" s="53"/>
      <c r="I22" s="53"/>
      <c r="J22" s="64">
        <f>3000+3500</f>
        <v>6500</v>
      </c>
      <c r="K22" s="64"/>
      <c r="L22" s="124"/>
      <c r="M22" s="305">
        <f t="shared" si="1"/>
        <v>6500</v>
      </c>
    </row>
    <row r="23" spans="1:13" ht="21.75" customHeight="1">
      <c r="A23" s="62" t="s">
        <v>258</v>
      </c>
      <c r="B23" s="53"/>
      <c r="C23" s="53"/>
      <c r="D23" s="64">
        <v>3500</v>
      </c>
      <c r="E23" s="64"/>
      <c r="F23" s="53"/>
      <c r="G23" s="54">
        <f t="shared" si="0"/>
        <v>3500</v>
      </c>
      <c r="H23" s="53"/>
      <c r="I23" s="53"/>
      <c r="J23" s="64">
        <f>3500+244</f>
        <v>3744</v>
      </c>
      <c r="K23" s="64"/>
      <c r="L23" s="124"/>
      <c r="M23" s="305">
        <f t="shared" si="1"/>
        <v>3744</v>
      </c>
    </row>
    <row r="24" spans="1:13" ht="21.75" customHeight="1">
      <c r="A24" s="62" t="s">
        <v>64</v>
      </c>
      <c r="B24" s="53"/>
      <c r="C24" s="53"/>
      <c r="D24" s="64">
        <v>2800</v>
      </c>
      <c r="E24" s="64"/>
      <c r="F24" s="53"/>
      <c r="G24" s="54">
        <f t="shared" si="0"/>
        <v>2800</v>
      </c>
      <c r="H24" s="53"/>
      <c r="I24" s="53"/>
      <c r="J24" s="64">
        <v>2800</v>
      </c>
      <c r="K24" s="64"/>
      <c r="L24" s="124"/>
      <c r="M24" s="305">
        <f t="shared" si="1"/>
        <v>2800</v>
      </c>
    </row>
    <row r="25" spans="1:13" ht="21.75" customHeight="1">
      <c r="A25" s="62" t="s">
        <v>65</v>
      </c>
      <c r="B25" s="53"/>
      <c r="C25" s="53"/>
      <c r="D25" s="64">
        <v>1792</v>
      </c>
      <c r="E25" s="64"/>
      <c r="F25" s="53"/>
      <c r="G25" s="54">
        <f t="shared" si="0"/>
        <v>1792</v>
      </c>
      <c r="H25" s="53"/>
      <c r="I25" s="53"/>
      <c r="J25" s="64">
        <v>1792</v>
      </c>
      <c r="K25" s="64"/>
      <c r="L25" s="124"/>
      <c r="M25" s="305">
        <f t="shared" si="1"/>
        <v>1792</v>
      </c>
    </row>
    <row r="26" spans="1:13" ht="21.75" customHeight="1">
      <c r="A26" s="62" t="s">
        <v>272</v>
      </c>
      <c r="B26" s="53"/>
      <c r="C26" s="53"/>
      <c r="D26" s="64">
        <v>2794</v>
      </c>
      <c r="E26" s="64"/>
      <c r="F26" s="53"/>
      <c r="G26" s="54">
        <f t="shared" si="0"/>
        <v>2794</v>
      </c>
      <c r="H26" s="53"/>
      <c r="I26" s="53"/>
      <c r="J26" s="64">
        <v>2794</v>
      </c>
      <c r="K26" s="64"/>
      <c r="L26" s="124"/>
      <c r="M26" s="305">
        <f t="shared" si="1"/>
        <v>2794</v>
      </c>
    </row>
    <row r="27" spans="1:13" ht="21.75" customHeight="1">
      <c r="A27" s="62" t="s">
        <v>356</v>
      </c>
      <c r="B27" s="53"/>
      <c r="C27" s="53"/>
      <c r="D27" s="64">
        <v>3302</v>
      </c>
      <c r="E27" s="64"/>
      <c r="F27" s="53"/>
      <c r="G27" s="54">
        <f t="shared" si="0"/>
        <v>3302</v>
      </c>
      <c r="H27" s="53"/>
      <c r="I27" s="53"/>
      <c r="J27" s="64">
        <v>3302</v>
      </c>
      <c r="K27" s="64"/>
      <c r="L27" s="124"/>
      <c r="M27" s="305">
        <f t="shared" si="1"/>
        <v>3302</v>
      </c>
    </row>
    <row r="28" spans="1:13" ht="21.75" customHeight="1">
      <c r="A28" s="62" t="s">
        <v>69</v>
      </c>
      <c r="B28" s="53"/>
      <c r="C28" s="53"/>
      <c r="D28" s="64"/>
      <c r="E28" s="64"/>
      <c r="F28" s="53"/>
      <c r="G28" s="54">
        <f t="shared" si="0"/>
        <v>0</v>
      </c>
      <c r="H28" s="53"/>
      <c r="I28" s="53"/>
      <c r="J28" s="64">
        <v>182</v>
      </c>
      <c r="K28" s="64"/>
      <c r="L28" s="124"/>
      <c r="M28" s="305">
        <f t="shared" si="1"/>
        <v>182</v>
      </c>
    </row>
    <row r="29" spans="1:13" ht="21.75" customHeight="1">
      <c r="A29" s="62" t="s">
        <v>277</v>
      </c>
      <c r="B29" s="53"/>
      <c r="C29" s="53"/>
      <c r="D29" s="64"/>
      <c r="E29" s="64"/>
      <c r="F29" s="53"/>
      <c r="G29" s="54">
        <f t="shared" si="0"/>
        <v>0</v>
      </c>
      <c r="H29" s="53"/>
      <c r="I29" s="53"/>
      <c r="J29" s="64">
        <v>3750</v>
      </c>
      <c r="K29" s="64"/>
      <c r="L29" s="124"/>
      <c r="M29" s="305">
        <f>SUM(H29:L29)</f>
        <v>3750</v>
      </c>
    </row>
    <row r="30" spans="1:13" ht="21.75" customHeight="1">
      <c r="A30" s="62" t="s">
        <v>70</v>
      </c>
      <c r="B30" s="53"/>
      <c r="C30" s="53"/>
      <c r="D30" s="64">
        <v>1000</v>
      </c>
      <c r="E30" s="64"/>
      <c r="F30" s="53"/>
      <c r="G30" s="54">
        <f t="shared" si="0"/>
        <v>1000</v>
      </c>
      <c r="H30" s="53"/>
      <c r="I30" s="53"/>
      <c r="J30" s="64">
        <v>1000</v>
      </c>
      <c r="K30" s="64"/>
      <c r="L30" s="124"/>
      <c r="M30" s="305">
        <f t="shared" si="1"/>
        <v>1000</v>
      </c>
    </row>
    <row r="31" spans="1:13" ht="21.75" customHeight="1">
      <c r="A31" s="62" t="s">
        <v>108</v>
      </c>
      <c r="B31" s="53"/>
      <c r="C31" s="53"/>
      <c r="D31" s="64">
        <v>1200</v>
      </c>
      <c r="E31" s="64"/>
      <c r="F31" s="53"/>
      <c r="G31" s="54">
        <f t="shared" si="0"/>
        <v>1200</v>
      </c>
      <c r="H31" s="53"/>
      <c r="I31" s="53"/>
      <c r="J31" s="64">
        <v>1200</v>
      </c>
      <c r="K31" s="64"/>
      <c r="L31" s="124"/>
      <c r="M31" s="305">
        <f t="shared" si="1"/>
        <v>1200</v>
      </c>
    </row>
    <row r="32" spans="1:13" ht="21.75" customHeight="1">
      <c r="A32" s="62" t="s">
        <v>119</v>
      </c>
      <c r="B32" s="53"/>
      <c r="C32" s="53"/>
      <c r="D32" s="64">
        <v>2000</v>
      </c>
      <c r="E32" s="64"/>
      <c r="F32" s="53"/>
      <c r="G32" s="54">
        <f t="shared" si="0"/>
        <v>2000</v>
      </c>
      <c r="H32" s="53"/>
      <c r="I32" s="53"/>
      <c r="J32" s="64">
        <v>2000</v>
      </c>
      <c r="K32" s="64"/>
      <c r="L32" s="124"/>
      <c r="M32" s="305">
        <f t="shared" si="1"/>
        <v>2000</v>
      </c>
    </row>
    <row r="33" spans="1:13" ht="21.75" customHeight="1">
      <c r="A33" s="149" t="s">
        <v>286</v>
      </c>
      <c r="B33" s="53"/>
      <c r="C33" s="53"/>
      <c r="D33" s="64">
        <v>6000</v>
      </c>
      <c r="E33" s="64"/>
      <c r="F33" s="53"/>
      <c r="G33" s="54">
        <f t="shared" si="0"/>
        <v>6000</v>
      </c>
      <c r="H33" s="53"/>
      <c r="I33" s="53"/>
      <c r="J33" s="64">
        <v>6000</v>
      </c>
      <c r="K33" s="64"/>
      <c r="L33" s="124"/>
      <c r="M33" s="305">
        <f t="shared" si="1"/>
        <v>6000</v>
      </c>
    </row>
    <row r="34" spans="1:13" ht="21.75" customHeight="1">
      <c r="A34" s="62" t="s">
        <v>360</v>
      </c>
      <c r="B34" s="53"/>
      <c r="C34" s="53"/>
      <c r="D34" s="64"/>
      <c r="E34" s="64"/>
      <c r="F34" s="53"/>
      <c r="G34" s="54">
        <f t="shared" si="0"/>
        <v>0</v>
      </c>
      <c r="H34" s="53"/>
      <c r="I34" s="53"/>
      <c r="J34" s="64">
        <v>400</v>
      </c>
      <c r="K34" s="64"/>
      <c r="L34" s="124"/>
      <c r="M34" s="305">
        <f t="shared" si="1"/>
        <v>400</v>
      </c>
    </row>
    <row r="35" spans="1:13" ht="21.75" customHeight="1">
      <c r="A35" s="62" t="s">
        <v>118</v>
      </c>
      <c r="B35" s="53"/>
      <c r="C35" s="53"/>
      <c r="D35" s="64"/>
      <c r="E35" s="64"/>
      <c r="F35" s="53"/>
      <c r="G35" s="54">
        <f t="shared" si="0"/>
        <v>0</v>
      </c>
      <c r="H35" s="53"/>
      <c r="I35" s="53"/>
      <c r="J35" s="64">
        <f>1270+725</f>
        <v>1995</v>
      </c>
      <c r="K35" s="64"/>
      <c r="L35" s="124"/>
      <c r="M35" s="305">
        <f t="shared" si="1"/>
        <v>1995</v>
      </c>
    </row>
    <row r="36" spans="1:13" ht="21.75" customHeight="1">
      <c r="A36" s="149" t="s">
        <v>391</v>
      </c>
      <c r="B36" s="53"/>
      <c r="C36" s="53"/>
      <c r="D36" s="64"/>
      <c r="E36" s="64"/>
      <c r="F36" s="53"/>
      <c r="G36" s="54"/>
      <c r="H36" s="53"/>
      <c r="I36" s="53"/>
      <c r="J36" s="64">
        <v>500</v>
      </c>
      <c r="K36" s="64"/>
      <c r="L36" s="124"/>
      <c r="M36" s="305">
        <f t="shared" si="1"/>
        <v>500</v>
      </c>
    </row>
    <row r="37" spans="1:13" ht="21.75" customHeight="1" thickBot="1">
      <c r="A37" s="62"/>
      <c r="B37" s="53"/>
      <c r="C37" s="53"/>
      <c r="D37" s="64"/>
      <c r="E37" s="64"/>
      <c r="F37" s="53"/>
      <c r="G37" s="54"/>
      <c r="H37" s="53"/>
      <c r="I37" s="53"/>
      <c r="J37" s="64"/>
      <c r="K37" s="64"/>
      <c r="L37" s="124"/>
      <c r="M37" s="305"/>
    </row>
    <row r="38" spans="1:13" s="73" customFormat="1" ht="24.75" customHeight="1" thickBot="1">
      <c r="A38" s="274" t="s">
        <v>140</v>
      </c>
      <c r="B38" s="275">
        <f>SUM(B3:B37)</f>
        <v>0</v>
      </c>
      <c r="C38" s="276">
        <f>SUM(C3:C37)</f>
        <v>0</v>
      </c>
      <c r="D38" s="276">
        <f>SUM(D3:D37)</f>
        <v>446169</v>
      </c>
      <c r="E38" s="276">
        <f>SUM(E3:E37)</f>
        <v>0</v>
      </c>
      <c r="F38" s="276">
        <f>SUM(F3:F37)</f>
        <v>0</v>
      </c>
      <c r="G38" s="277">
        <f t="shared" si="0"/>
        <v>446169</v>
      </c>
      <c r="H38" s="276">
        <f>SUM(H3:H37)</f>
        <v>0</v>
      </c>
      <c r="I38" s="276">
        <f>SUM(I3:I37)</f>
        <v>0</v>
      </c>
      <c r="J38" s="278">
        <f>SUM(J3:J37)</f>
        <v>476142</v>
      </c>
      <c r="K38" s="278">
        <f>SUM(K3:K37)</f>
        <v>0</v>
      </c>
      <c r="L38" s="278">
        <f>SUM(L3:L37)</f>
        <v>0</v>
      </c>
      <c r="M38" s="393">
        <f t="shared" si="1"/>
        <v>476142</v>
      </c>
    </row>
    <row r="39" ht="13.5" thickTop="1"/>
  </sheetData>
  <sheetProtection/>
  <mergeCells count="2">
    <mergeCell ref="B1:G1"/>
    <mergeCell ref="H1:M1"/>
  </mergeCells>
  <printOptions horizontalCentered="1"/>
  <pageMargins left="0.31496062992125984" right="0.58" top="0.81" bottom="0.48" header="0.31" footer="0.25"/>
  <pageSetup blackAndWhite="1" fitToHeight="1" fitToWidth="1" horizontalDpi="120" verticalDpi="120" orientation="portrait" paperSize="9" scale="71" r:id="rId1"/>
  <headerFooter alignWithMargins="0">
    <oddHeader>&amp;C&amp;"Times New Roman CE,Félkövér"&amp;16Városüzemeltetés&amp;"Times New Roman CE,Normál"&amp;18
&amp;11/ ezer Ft &amp;18/&amp;R&amp;"MS Sans Serif,Félkövér"&amp;12 9.sz.melléklet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9.8515625" style="214" customWidth="1"/>
    <col min="2" max="3" width="12.7109375" style="214" customWidth="1"/>
    <col min="4" max="16384" width="9.140625" style="213" customWidth="1"/>
  </cols>
  <sheetData>
    <row r="1" spans="1:3" ht="13.5" customHeight="1" thickTop="1">
      <c r="A1" s="477" t="s">
        <v>144</v>
      </c>
      <c r="B1" s="479" t="s">
        <v>343</v>
      </c>
      <c r="C1" s="481" t="s">
        <v>344</v>
      </c>
    </row>
    <row r="2" spans="1:3" ht="13.5" thickBot="1">
      <c r="A2" s="478"/>
      <c r="B2" s="480"/>
      <c r="C2" s="482"/>
    </row>
    <row r="3" spans="1:3" s="214" customFormat="1" ht="18" customHeight="1">
      <c r="A3" s="156" t="s">
        <v>265</v>
      </c>
      <c r="B3" s="250">
        <v>5500</v>
      </c>
      <c r="C3" s="397">
        <f>5500+15413+3000+3000</f>
        <v>26913</v>
      </c>
    </row>
    <row r="4" spans="1:3" s="214" customFormat="1" ht="18" customHeight="1">
      <c r="A4" s="156" t="s">
        <v>115</v>
      </c>
      <c r="B4" s="250">
        <v>3000</v>
      </c>
      <c r="C4" s="397">
        <f>3000+969+1160</f>
        <v>5129</v>
      </c>
    </row>
    <row r="5" spans="1:3" s="214" customFormat="1" ht="18" customHeight="1">
      <c r="A5" s="156" t="s">
        <v>331</v>
      </c>
      <c r="B5" s="250">
        <v>30000</v>
      </c>
      <c r="C5" s="397">
        <f>30000+73721+25759+17420</f>
        <v>146900</v>
      </c>
    </row>
    <row r="6" spans="1:3" s="214" customFormat="1" ht="18" customHeight="1">
      <c r="A6" s="156" t="s">
        <v>78</v>
      </c>
      <c r="B6" s="250">
        <v>3000</v>
      </c>
      <c r="C6" s="397">
        <v>3000</v>
      </c>
    </row>
    <row r="7" spans="1:3" s="214" customFormat="1" ht="18" customHeight="1">
      <c r="A7" s="156" t="s">
        <v>79</v>
      </c>
      <c r="B7" s="251">
        <v>12000</v>
      </c>
      <c r="C7" s="398">
        <f>12000+15524+6330+4172</f>
        <v>38026</v>
      </c>
    </row>
    <row r="8" spans="1:3" s="214" customFormat="1" ht="18" customHeight="1">
      <c r="A8" s="156" t="s">
        <v>215</v>
      </c>
      <c r="B8" s="250">
        <v>2000</v>
      </c>
      <c r="C8" s="397">
        <f>2000+3325+1391+830</f>
        <v>7546</v>
      </c>
    </row>
    <row r="9" spans="1:3" s="214" customFormat="1" ht="18" customHeight="1">
      <c r="A9" s="190" t="s">
        <v>182</v>
      </c>
      <c r="B9" s="250">
        <v>3500</v>
      </c>
      <c r="C9" s="397">
        <v>3500</v>
      </c>
    </row>
    <row r="10" spans="1:3" s="214" customFormat="1" ht="18" customHeight="1">
      <c r="A10" s="156" t="s">
        <v>80</v>
      </c>
      <c r="B10" s="250">
        <v>10000</v>
      </c>
      <c r="C10" s="397">
        <f>10000+30989+15417+9259</f>
        <v>65665</v>
      </c>
    </row>
    <row r="11" spans="1:3" s="214" customFormat="1" ht="18" customHeight="1">
      <c r="A11" s="156" t="s">
        <v>81</v>
      </c>
      <c r="B11" s="250">
        <v>7000</v>
      </c>
      <c r="C11" s="397">
        <v>7000</v>
      </c>
    </row>
    <row r="12" spans="1:3" s="214" customFormat="1" ht="18" customHeight="1">
      <c r="A12" s="156" t="s">
        <v>386</v>
      </c>
      <c r="B12" s="250"/>
      <c r="C12" s="397">
        <f>379+6411+6217+245-56</f>
        <v>13196</v>
      </c>
    </row>
    <row r="13" spans="1:3" s="214" customFormat="1" ht="18" customHeight="1">
      <c r="A13" s="156" t="s">
        <v>72</v>
      </c>
      <c r="B13" s="250"/>
      <c r="C13" s="397">
        <v>798</v>
      </c>
    </row>
    <row r="14" spans="1:3" s="214" customFormat="1" ht="18" customHeight="1">
      <c r="A14" s="156" t="s">
        <v>368</v>
      </c>
      <c r="B14" s="250"/>
      <c r="C14" s="397">
        <f>410+420</f>
        <v>830</v>
      </c>
    </row>
    <row r="15" spans="1:3" s="214" customFormat="1" ht="18" customHeight="1">
      <c r="A15" s="156" t="s">
        <v>388</v>
      </c>
      <c r="B15" s="250"/>
      <c r="C15" s="397"/>
    </row>
    <row r="16" spans="1:3" s="214" customFormat="1" ht="18" customHeight="1">
      <c r="A16" s="156"/>
      <c r="B16" s="250"/>
      <c r="C16" s="397"/>
    </row>
    <row r="17" spans="1:3" s="215" customFormat="1" ht="18" customHeight="1">
      <c r="A17" s="236" t="s">
        <v>332</v>
      </c>
      <c r="B17" s="252">
        <f>SUM(B3:B16)</f>
        <v>76000</v>
      </c>
      <c r="C17" s="399">
        <f>SUM(C3:C16)</f>
        <v>318503</v>
      </c>
    </row>
    <row r="18" spans="1:3" s="215" customFormat="1" ht="18" customHeight="1">
      <c r="A18" s="236"/>
      <c r="B18" s="252"/>
      <c r="C18" s="399"/>
    </row>
    <row r="19" spans="1:3" s="214" customFormat="1" ht="18" customHeight="1">
      <c r="A19" s="156" t="s">
        <v>81</v>
      </c>
      <c r="B19" s="250">
        <v>2000</v>
      </c>
      <c r="C19" s="397">
        <v>2000</v>
      </c>
    </row>
    <row r="20" spans="1:3" s="214" customFormat="1" ht="18" customHeight="1">
      <c r="A20" s="156" t="s">
        <v>66</v>
      </c>
      <c r="B20" s="250">
        <v>5000</v>
      </c>
      <c r="C20" s="397">
        <v>5000</v>
      </c>
    </row>
    <row r="21" spans="1:3" s="214" customFormat="1" ht="18" customHeight="1">
      <c r="A21" s="156" t="s">
        <v>78</v>
      </c>
      <c r="B21" s="250">
        <v>3000</v>
      </c>
      <c r="C21" s="397">
        <v>3000</v>
      </c>
    </row>
    <row r="22" spans="1:3" s="214" customFormat="1" ht="18" customHeight="1">
      <c r="A22" s="156" t="s">
        <v>82</v>
      </c>
      <c r="B22" s="250">
        <v>4500</v>
      </c>
      <c r="C22" s="397">
        <v>4500</v>
      </c>
    </row>
    <row r="23" spans="1:3" s="214" customFormat="1" ht="18" customHeight="1">
      <c r="A23" s="156" t="s">
        <v>83</v>
      </c>
      <c r="B23" s="250">
        <v>6000</v>
      </c>
      <c r="C23" s="397">
        <v>6000</v>
      </c>
    </row>
    <row r="24" spans="1:3" s="214" customFormat="1" ht="18" customHeight="1">
      <c r="A24" s="156" t="s">
        <v>206</v>
      </c>
      <c r="B24" s="250">
        <v>9000</v>
      </c>
      <c r="C24" s="397">
        <v>9000</v>
      </c>
    </row>
    <row r="25" spans="1:3" s="214" customFormat="1" ht="18" customHeight="1">
      <c r="A25" s="156" t="s">
        <v>225</v>
      </c>
      <c r="B25" s="250">
        <v>4000</v>
      </c>
      <c r="C25" s="397">
        <v>4000</v>
      </c>
    </row>
    <row r="26" spans="1:3" s="214" customFormat="1" ht="18" customHeight="1">
      <c r="A26" s="156" t="s">
        <v>237</v>
      </c>
      <c r="B26" s="250">
        <v>11000</v>
      </c>
      <c r="C26" s="397">
        <f>11000-1698-3369</f>
        <v>5933</v>
      </c>
    </row>
    <row r="27" spans="1:3" s="214" customFormat="1" ht="18" customHeight="1">
      <c r="A27" s="156" t="s">
        <v>214</v>
      </c>
      <c r="B27" s="250">
        <v>3000</v>
      </c>
      <c r="C27" s="397">
        <v>3000</v>
      </c>
    </row>
    <row r="28" spans="1:3" s="214" customFormat="1" ht="18" customHeight="1">
      <c r="A28" s="156" t="s">
        <v>266</v>
      </c>
      <c r="B28" s="250">
        <v>6000</v>
      </c>
      <c r="C28" s="397">
        <v>6000</v>
      </c>
    </row>
    <row r="29" spans="1:3" s="214" customFormat="1" ht="18" customHeight="1">
      <c r="A29" s="156" t="s">
        <v>91</v>
      </c>
      <c r="B29" s="250">
        <v>500</v>
      </c>
      <c r="C29" s="397">
        <v>500</v>
      </c>
    </row>
    <row r="30" spans="1:3" s="214" customFormat="1" ht="18" customHeight="1">
      <c r="A30" s="156" t="s">
        <v>267</v>
      </c>
      <c r="B30" s="250">
        <v>4000</v>
      </c>
      <c r="C30" s="397">
        <f>4000+6795-695+1165</f>
        <v>11265</v>
      </c>
    </row>
    <row r="31" spans="1:3" s="214" customFormat="1" ht="18" customHeight="1">
      <c r="A31" s="156" t="s">
        <v>333</v>
      </c>
      <c r="B31" s="250"/>
      <c r="C31" s="397">
        <v>1914</v>
      </c>
    </row>
    <row r="32" spans="1:3" s="214" customFormat="1" ht="18" customHeight="1">
      <c r="A32" s="156" t="s">
        <v>376</v>
      </c>
      <c r="B32" s="250"/>
      <c r="C32" s="397"/>
    </row>
    <row r="33" spans="1:3" s="215" customFormat="1" ht="18" customHeight="1" thickBot="1">
      <c r="A33" s="236" t="s">
        <v>334</v>
      </c>
      <c r="B33" s="252">
        <f>SUM(B19:B31)</f>
        <v>58000</v>
      </c>
      <c r="C33" s="399">
        <f>SUM(C19:C31)</f>
        <v>62112</v>
      </c>
    </row>
    <row r="34" spans="1:3" s="214" customFormat="1" ht="21" customHeight="1" thickBot="1">
      <c r="A34" s="216" t="s">
        <v>160</v>
      </c>
      <c r="B34" s="253">
        <f>B17+B33</f>
        <v>134000</v>
      </c>
      <c r="C34" s="400">
        <f>C17+C33</f>
        <v>380615</v>
      </c>
    </row>
    <row r="35" s="214" customFormat="1" ht="13.5" thickTop="1"/>
    <row r="36" s="214" customFormat="1" ht="12.75"/>
    <row r="37" s="214" customFormat="1" ht="12.75"/>
    <row r="38" s="214" customFormat="1" ht="12.75"/>
  </sheetData>
  <sheetProtection/>
  <mergeCells count="3">
    <mergeCell ref="A1:A2"/>
    <mergeCell ref="B1:B2"/>
    <mergeCell ref="C1:C2"/>
  </mergeCells>
  <printOptions horizontalCentered="1"/>
  <pageMargins left="0.49" right="0.8" top="1.82" bottom="2.65" header="0.78" footer="2.02"/>
  <pageSetup blackAndWhite="1" fitToHeight="1" fitToWidth="1" horizontalDpi="600" verticalDpi="600" orientation="portrait" paperSize="9" scale="88" r:id="rId1"/>
  <headerFooter alignWithMargins="0">
    <oddHeader>&amp;C&amp;"Times New Roman CE,Félkövér"&amp;16Szociálpolitikai feladatok&amp;"Times New Roman CE,Normál"&amp;18
&amp;11/ ezer Ft /&amp;R&amp;"MS Sans Serif,Félkövér"&amp;12 10.sz.melléklet</oddHeader>
    <oddFooter>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8.00390625" style="0" bestFit="1" customWidth="1"/>
    <col min="2" max="2" width="12.7109375" style="0" customWidth="1"/>
    <col min="3" max="3" width="12.7109375" style="131" customWidth="1"/>
  </cols>
  <sheetData>
    <row r="1" spans="1:3" ht="19.5" thickTop="1">
      <c r="A1" s="454" t="s">
        <v>144</v>
      </c>
      <c r="B1" s="483" t="s">
        <v>212</v>
      </c>
      <c r="C1" s="464"/>
    </row>
    <row r="2" spans="1:4" ht="17.25" customHeight="1" thickBot="1">
      <c r="A2" s="453"/>
      <c r="B2" s="123" t="s">
        <v>340</v>
      </c>
      <c r="C2" s="61" t="s">
        <v>341</v>
      </c>
      <c r="D2" s="100"/>
    </row>
    <row r="3" spans="1:4" ht="18" customHeight="1">
      <c r="A3" s="38" t="s">
        <v>42</v>
      </c>
      <c r="B3" s="401">
        <f>198000-25000</f>
        <v>173000</v>
      </c>
      <c r="C3" s="402">
        <f>198000-25000</f>
        <v>173000</v>
      </c>
      <c r="D3" s="100"/>
    </row>
    <row r="4" spans="1:4" ht="18" customHeight="1">
      <c r="A4" s="38" t="s">
        <v>117</v>
      </c>
      <c r="B4" s="401">
        <v>34067</v>
      </c>
      <c r="C4" s="402">
        <v>34067</v>
      </c>
      <c r="D4" s="100"/>
    </row>
    <row r="5" spans="1:4" ht="18" customHeight="1">
      <c r="A5" s="38" t="s">
        <v>51</v>
      </c>
      <c r="B5" s="401"/>
      <c r="C5" s="402">
        <v>47</v>
      </c>
      <c r="D5" s="100"/>
    </row>
    <row r="6" spans="1:4" ht="18" customHeight="1">
      <c r="A6" s="38" t="s">
        <v>359</v>
      </c>
      <c r="B6" s="401"/>
      <c r="C6" s="402">
        <v>7807</v>
      </c>
      <c r="D6" s="100"/>
    </row>
    <row r="7" spans="1:4" ht="18" customHeight="1">
      <c r="A7" s="38" t="s">
        <v>364</v>
      </c>
      <c r="B7" s="401"/>
      <c r="C7" s="402">
        <v>1000</v>
      </c>
      <c r="D7" s="100"/>
    </row>
    <row r="8" spans="1:4" ht="18" customHeight="1">
      <c r="A8" s="38"/>
      <c r="B8" s="401"/>
      <c r="C8" s="402"/>
      <c r="D8" s="100"/>
    </row>
    <row r="9" spans="1:4" ht="18" customHeight="1">
      <c r="A9" s="38"/>
      <c r="B9" s="401"/>
      <c r="C9" s="403"/>
      <c r="D9" s="100"/>
    </row>
    <row r="10" spans="1:4" s="73" customFormat="1" ht="18" customHeight="1">
      <c r="A10" s="48" t="s">
        <v>48</v>
      </c>
      <c r="B10" s="273">
        <f>SUM(B3:B8)</f>
        <v>207067</v>
      </c>
      <c r="C10" s="404">
        <f>SUM(C3:C9)</f>
        <v>215921</v>
      </c>
      <c r="D10" s="100"/>
    </row>
    <row r="11" spans="1:4" s="103" customFormat="1" ht="18" customHeight="1">
      <c r="A11" s="104"/>
      <c r="B11" s="151"/>
      <c r="C11" s="405"/>
      <c r="D11" s="105"/>
    </row>
    <row r="12" spans="1:4" ht="18" customHeight="1">
      <c r="A12" s="38" t="s">
        <v>270</v>
      </c>
      <c r="B12" s="401">
        <v>1573</v>
      </c>
      <c r="C12" s="402">
        <v>1573</v>
      </c>
      <c r="D12" s="100"/>
    </row>
    <row r="13" spans="1:4" ht="18" customHeight="1">
      <c r="A13" s="38" t="s">
        <v>61</v>
      </c>
      <c r="B13" s="401">
        <v>5000</v>
      </c>
      <c r="C13" s="402">
        <v>5000</v>
      </c>
      <c r="D13" s="100"/>
    </row>
    <row r="14" spans="1:4" ht="18" customHeight="1">
      <c r="A14" s="38" t="s">
        <v>99</v>
      </c>
      <c r="B14" s="401">
        <f>4000+4700+4000+50</f>
        <v>12750</v>
      </c>
      <c r="C14" s="402">
        <f>4000+4700+4000+50</f>
        <v>12750</v>
      </c>
      <c r="D14" s="100"/>
    </row>
    <row r="15" spans="1:4" ht="18" customHeight="1">
      <c r="A15" s="38" t="s">
        <v>93</v>
      </c>
      <c r="B15" s="401">
        <v>59000</v>
      </c>
      <c r="C15" s="402">
        <v>59000</v>
      </c>
      <c r="D15" s="100"/>
    </row>
    <row r="16" spans="1:4" ht="18" customHeight="1">
      <c r="A16" s="38" t="s">
        <v>116</v>
      </c>
      <c r="B16" s="401">
        <f>18500+2316+600+371</f>
        <v>21787</v>
      </c>
      <c r="C16" s="402">
        <f>18500+2316+600+371+1070</f>
        <v>22857</v>
      </c>
      <c r="D16" s="100"/>
    </row>
    <row r="17" spans="1:4" ht="18" customHeight="1">
      <c r="A17" s="38" t="s">
        <v>114</v>
      </c>
      <c r="B17" s="401">
        <v>3745</v>
      </c>
      <c r="C17" s="402">
        <v>3745</v>
      </c>
      <c r="D17" s="100"/>
    </row>
    <row r="18" spans="1:4" ht="18" customHeight="1">
      <c r="A18" s="38" t="s">
        <v>374</v>
      </c>
      <c r="B18" s="401"/>
      <c r="C18" s="402">
        <v>429</v>
      </c>
      <c r="D18" s="100"/>
    </row>
    <row r="19" spans="1:4" ht="18" customHeight="1">
      <c r="A19" s="38" t="s">
        <v>357</v>
      </c>
      <c r="B19" s="401"/>
      <c r="C19" s="402">
        <v>65057</v>
      </c>
      <c r="D19" s="100"/>
    </row>
    <row r="20" spans="1:4" ht="18" customHeight="1">
      <c r="A20" s="38" t="s">
        <v>387</v>
      </c>
      <c r="B20" s="401"/>
      <c r="C20" s="402">
        <v>1227</v>
      </c>
      <c r="D20" s="100"/>
    </row>
    <row r="21" spans="1:4" ht="18" customHeight="1">
      <c r="A21" s="38"/>
      <c r="B21" s="401"/>
      <c r="C21" s="402"/>
      <c r="D21" s="100"/>
    </row>
    <row r="22" spans="1:4" s="73" customFormat="1" ht="18" customHeight="1" thickBot="1">
      <c r="A22" s="48" t="s">
        <v>49</v>
      </c>
      <c r="B22" s="273">
        <f>SUM(B12:B21)</f>
        <v>103855</v>
      </c>
      <c r="C22" s="406">
        <f>SUM(C12:C21)</f>
        <v>171638</v>
      </c>
      <c r="D22" s="100"/>
    </row>
    <row r="23" spans="1:4" s="73" customFormat="1" ht="21" customHeight="1" thickBot="1">
      <c r="A23" s="60" t="s">
        <v>140</v>
      </c>
      <c r="B23" s="106">
        <f>B22+B10</f>
        <v>310922</v>
      </c>
      <c r="C23" s="314">
        <f>C22+C10</f>
        <v>387559</v>
      </c>
      <c r="D23" s="100"/>
    </row>
    <row r="24" ht="13.5" thickTop="1"/>
  </sheetData>
  <sheetProtection/>
  <mergeCells count="2">
    <mergeCell ref="B1:C1"/>
    <mergeCell ref="A1:A2"/>
  </mergeCells>
  <printOptions horizontalCentered="1"/>
  <pageMargins left="1.08" right="1.03" top="2.14" bottom="0.72" header="0.91" footer="1.19"/>
  <pageSetup blackAndWhite="1" fitToHeight="1" fitToWidth="1" horizontalDpi="240" verticalDpi="240" orientation="portrait" paperSize="9" r:id="rId1"/>
  <headerFooter alignWithMargins="0">
    <oddHeader>&amp;C&amp;"Times New Roman CE,Félkövér"&amp;16 Átadott pénzeszközök&amp;"Times New Roman CE,Normál"&amp;10
&amp;11/ezer Ft/&amp;R&amp;"MS Sans Serif,Félkövér"&amp;12 11.sz.melléklet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52.57421875" style="0" customWidth="1"/>
    <col min="2" max="2" width="12.7109375" style="0" customWidth="1"/>
    <col min="3" max="3" width="12.7109375" style="131" customWidth="1"/>
  </cols>
  <sheetData>
    <row r="1" spans="1:3" ht="18.75" thickTop="1">
      <c r="A1" s="452" t="s">
        <v>144</v>
      </c>
      <c r="B1" s="483" t="s">
        <v>211</v>
      </c>
      <c r="C1" s="464"/>
    </row>
    <row r="2" spans="1:3" ht="16.5" thickBot="1">
      <c r="A2" s="453"/>
      <c r="B2" s="11" t="s">
        <v>340</v>
      </c>
      <c r="C2" s="61" t="s">
        <v>341</v>
      </c>
    </row>
    <row r="3" spans="1:3" ht="18" customHeight="1">
      <c r="A3" s="39" t="s">
        <v>17</v>
      </c>
      <c r="B3" s="118">
        <v>5000</v>
      </c>
      <c r="C3" s="307">
        <f>5000-3000</f>
        <v>2000</v>
      </c>
    </row>
    <row r="4" spans="1:3" s="131" customFormat="1" ht="18" customHeight="1">
      <c r="A4" s="39" t="s">
        <v>358</v>
      </c>
      <c r="B4" s="118"/>
      <c r="C4" s="307">
        <v>284</v>
      </c>
    </row>
    <row r="5" spans="1:3" s="131" customFormat="1" ht="18" customHeight="1">
      <c r="A5" s="39" t="s">
        <v>268</v>
      </c>
      <c r="B5" s="118">
        <v>600</v>
      </c>
      <c r="C5" s="307">
        <f>600+55</f>
        <v>655</v>
      </c>
    </row>
    <row r="6" spans="1:3" s="131" customFormat="1" ht="18" customHeight="1">
      <c r="A6" s="39" t="s">
        <v>87</v>
      </c>
      <c r="B6" s="118">
        <v>6000</v>
      </c>
      <c r="C6" s="307">
        <f>6000-1000-1000</f>
        <v>4000</v>
      </c>
    </row>
    <row r="7" spans="1:3" s="131" customFormat="1" ht="21" customHeight="1">
      <c r="A7" s="71" t="s">
        <v>262</v>
      </c>
      <c r="B7" s="191">
        <f>SUM(B3:B6)</f>
        <v>11600</v>
      </c>
      <c r="C7" s="407">
        <f>SUM(C3:C6)</f>
        <v>6939</v>
      </c>
    </row>
    <row r="8" spans="1:3" s="131" customFormat="1" ht="18" customHeight="1">
      <c r="A8" s="39" t="s">
        <v>46</v>
      </c>
      <c r="B8" s="118">
        <v>9000</v>
      </c>
      <c r="C8" s="307">
        <f>9000+395-650-500</f>
        <v>8245</v>
      </c>
    </row>
    <row r="9" spans="1:3" s="131" customFormat="1" ht="18" customHeight="1">
      <c r="A9" s="39" t="s">
        <v>53</v>
      </c>
      <c r="B9" s="118">
        <v>24000</v>
      </c>
      <c r="C9" s="369">
        <f>24000+737-350-300-500</f>
        <v>23587</v>
      </c>
    </row>
    <row r="10" spans="1:3" s="131" customFormat="1" ht="21" customHeight="1">
      <c r="A10" s="71" t="s">
        <v>260</v>
      </c>
      <c r="B10" s="192">
        <f>SUM(B8:B9)</f>
        <v>33000</v>
      </c>
      <c r="C10" s="406">
        <f>SUM(C8:C9)</f>
        <v>31832</v>
      </c>
    </row>
    <row r="11" spans="1:3" s="131" customFormat="1" ht="18" customHeight="1">
      <c r="A11" s="25" t="s">
        <v>184</v>
      </c>
      <c r="B11" s="184">
        <v>1500</v>
      </c>
      <c r="C11" s="369">
        <f>1500+102-205-63-260</f>
        <v>1074</v>
      </c>
    </row>
    <row r="12" spans="1:3" s="131" customFormat="1" ht="18" customHeight="1">
      <c r="A12" s="39" t="s">
        <v>3</v>
      </c>
      <c r="B12" s="184">
        <v>1500</v>
      </c>
      <c r="C12" s="369">
        <v>1500</v>
      </c>
    </row>
    <row r="13" spans="1:3" s="131" customFormat="1" ht="18" customHeight="1">
      <c r="A13" s="39" t="s">
        <v>218</v>
      </c>
      <c r="B13" s="184">
        <v>1400</v>
      </c>
      <c r="C13" s="369">
        <f>1400-95-80-225-557</f>
        <v>443</v>
      </c>
    </row>
    <row r="14" spans="1:3" s="131" customFormat="1" ht="21" customHeight="1">
      <c r="A14" s="39" t="s">
        <v>15</v>
      </c>
      <c r="B14" s="118">
        <v>17000</v>
      </c>
      <c r="C14" s="307">
        <f>17000-810</f>
        <v>16190</v>
      </c>
    </row>
    <row r="15" spans="1:3" s="131" customFormat="1" ht="18" customHeight="1">
      <c r="A15" s="39" t="s">
        <v>173</v>
      </c>
      <c r="B15" s="118">
        <v>4500</v>
      </c>
      <c r="C15" s="307">
        <f>4500-1547-950</f>
        <v>2003</v>
      </c>
    </row>
    <row r="16" spans="1:3" s="131" customFormat="1" ht="18" customHeight="1">
      <c r="A16" s="39" t="s">
        <v>4</v>
      </c>
      <c r="B16" s="118">
        <v>1700</v>
      </c>
      <c r="C16" s="307">
        <f>1700+292</f>
        <v>1992</v>
      </c>
    </row>
    <row r="17" spans="1:3" s="131" customFormat="1" ht="18" customHeight="1">
      <c r="A17" s="39" t="s">
        <v>5</v>
      </c>
      <c r="B17" s="118">
        <v>4000</v>
      </c>
      <c r="C17" s="307">
        <f>4000-600-556-1870</f>
        <v>974</v>
      </c>
    </row>
    <row r="18" spans="1:3" s="131" customFormat="1" ht="18" customHeight="1">
      <c r="A18" s="39" t="s">
        <v>88</v>
      </c>
      <c r="B18" s="118">
        <v>7000</v>
      </c>
      <c r="C18" s="307">
        <f>7000+200-1400-865-300</f>
        <v>4635</v>
      </c>
    </row>
    <row r="19" spans="1:3" s="131" customFormat="1" ht="21" customHeight="1">
      <c r="A19" s="71" t="s">
        <v>263</v>
      </c>
      <c r="B19" s="191">
        <f>SUM(B11:B18)</f>
        <v>38600</v>
      </c>
      <c r="C19" s="407">
        <f>SUM(C11:C18)</f>
        <v>28811</v>
      </c>
    </row>
    <row r="20" spans="1:3" s="131" customFormat="1" ht="18" customHeight="1">
      <c r="A20" s="39" t="s">
        <v>186</v>
      </c>
      <c r="B20" s="184">
        <v>4500</v>
      </c>
      <c r="C20" s="369">
        <f>4500-150-40</f>
        <v>4310</v>
      </c>
    </row>
    <row r="21" spans="1:3" s="131" customFormat="1" ht="18" customHeight="1">
      <c r="A21" s="39" t="s">
        <v>59</v>
      </c>
      <c r="B21" s="184">
        <v>1000</v>
      </c>
      <c r="C21" s="369">
        <v>1000</v>
      </c>
    </row>
    <row r="22" spans="1:3" s="131" customFormat="1" ht="18" customHeight="1">
      <c r="A22" s="39" t="s">
        <v>100</v>
      </c>
      <c r="B22" s="184">
        <v>5000</v>
      </c>
      <c r="C22" s="369">
        <f>5000+45</f>
        <v>5045</v>
      </c>
    </row>
    <row r="23" spans="1:3" s="131" customFormat="1" ht="21" customHeight="1">
      <c r="A23" s="71" t="s">
        <v>13</v>
      </c>
      <c r="B23" s="191">
        <f>SUM(B20:B22)</f>
        <v>10500</v>
      </c>
      <c r="C23" s="407">
        <f>SUM(C20:C22)</f>
        <v>10355</v>
      </c>
    </row>
    <row r="24" spans="1:3" s="131" customFormat="1" ht="21" customHeight="1">
      <c r="A24" s="39" t="s">
        <v>16</v>
      </c>
      <c r="B24" s="193">
        <v>3500</v>
      </c>
      <c r="C24" s="408">
        <v>3500</v>
      </c>
    </row>
    <row r="25" spans="1:3" s="131" customFormat="1" ht="21" customHeight="1">
      <c r="A25" s="71" t="s">
        <v>261</v>
      </c>
      <c r="B25" s="191">
        <f>SUM(B24)</f>
        <v>3500</v>
      </c>
      <c r="C25" s="407">
        <f>SUM(C24)</f>
        <v>3500</v>
      </c>
    </row>
    <row r="26" spans="1:3" s="194" customFormat="1" ht="21" customHeight="1">
      <c r="A26" s="39" t="s">
        <v>362</v>
      </c>
      <c r="B26" s="193"/>
      <c r="C26" s="408">
        <v>9708</v>
      </c>
    </row>
    <row r="27" spans="1:3" s="131" customFormat="1" ht="18" customHeight="1">
      <c r="A27" s="39" t="s">
        <v>273</v>
      </c>
      <c r="B27" s="184">
        <v>10000</v>
      </c>
      <c r="C27" s="369">
        <v>10000</v>
      </c>
    </row>
    <row r="28" spans="1:3" s="131" customFormat="1" ht="21" customHeight="1">
      <c r="A28" s="71" t="s">
        <v>71</v>
      </c>
      <c r="B28" s="140">
        <f>SUM(B26:B27)</f>
        <v>10000</v>
      </c>
      <c r="C28" s="368">
        <f>SUM(C26:C27)</f>
        <v>19708</v>
      </c>
    </row>
    <row r="29" spans="1:3" s="131" customFormat="1" ht="21" customHeight="1">
      <c r="A29" s="71" t="s">
        <v>322</v>
      </c>
      <c r="B29" s="140">
        <v>20000</v>
      </c>
      <c r="C29" s="368">
        <f>20000+282-178-7408-300-3142-500-3744-2001</f>
        <v>3009</v>
      </c>
    </row>
    <row r="30" spans="1:3" s="131" customFormat="1" ht="21" customHeight="1">
      <c r="A30" s="71" t="s">
        <v>47</v>
      </c>
      <c r="B30" s="140">
        <v>1000</v>
      </c>
      <c r="C30" s="368">
        <v>1000</v>
      </c>
    </row>
    <row r="31" spans="1:3" s="131" customFormat="1" ht="18" customHeight="1">
      <c r="A31" s="178" t="s">
        <v>111</v>
      </c>
      <c r="B31" s="184"/>
      <c r="C31" s="408"/>
    </row>
    <row r="32" spans="1:3" s="131" customFormat="1" ht="18" customHeight="1">
      <c r="A32" s="39" t="s">
        <v>321</v>
      </c>
      <c r="B32" s="184">
        <v>1500</v>
      </c>
      <c r="C32" s="415">
        <f>1500-581-569-76</f>
        <v>274</v>
      </c>
    </row>
    <row r="33" spans="1:6" s="131" customFormat="1" ht="18" customHeight="1">
      <c r="A33" s="39" t="s">
        <v>34</v>
      </c>
      <c r="B33" s="184">
        <v>1250</v>
      </c>
      <c r="C33" s="408">
        <f>1250-629</f>
        <v>621</v>
      </c>
      <c r="F33" s="194"/>
    </row>
    <row r="34" spans="1:3" s="131" customFormat="1" ht="18" customHeight="1">
      <c r="A34" s="39" t="s">
        <v>367</v>
      </c>
      <c r="B34" s="118"/>
      <c r="C34" s="369">
        <f>3242+22223+18517-38332-4302-1226-122</f>
        <v>0</v>
      </c>
    </row>
    <row r="35" spans="1:3" s="131" customFormat="1" ht="18" customHeight="1">
      <c r="A35" s="39" t="s">
        <v>113</v>
      </c>
      <c r="B35" s="184">
        <v>1350</v>
      </c>
      <c r="C35" s="369">
        <v>1350</v>
      </c>
    </row>
    <row r="36" spans="1:3" s="131" customFormat="1" ht="18" customHeight="1">
      <c r="A36" s="39" t="s">
        <v>287</v>
      </c>
      <c r="B36" s="184">
        <v>1000</v>
      </c>
      <c r="C36" s="369">
        <f>1000-383</f>
        <v>617</v>
      </c>
    </row>
    <row r="37" spans="1:3" s="131" customFormat="1" ht="18" customHeight="1" thickBot="1">
      <c r="A37" s="39"/>
      <c r="B37" s="184"/>
      <c r="C37" s="369"/>
    </row>
    <row r="38" spans="1:3" s="186" customFormat="1" ht="18" customHeight="1" thickBot="1">
      <c r="A38" s="209" t="s">
        <v>325</v>
      </c>
      <c r="B38" s="210">
        <f>B7+B10+B19+B23+B25+B28+B29+B31+B32+B33+B34+B35+B36+B37+B44+B30</f>
        <v>133300</v>
      </c>
      <c r="C38" s="409">
        <f>C7+C10+C19+C23+C25+C28+C29+C31+C32+C33+C34+C35+C36+C37+C30</f>
        <v>108016</v>
      </c>
    </row>
    <row r="39" spans="1:3" s="131" customFormat="1" ht="18" customHeight="1">
      <c r="A39" s="198" t="s">
        <v>324</v>
      </c>
      <c r="B39" s="199"/>
      <c r="C39" s="410"/>
    </row>
    <row r="40" spans="1:3" s="131" customFormat="1" ht="18" customHeight="1">
      <c r="A40" s="202" t="s">
        <v>41</v>
      </c>
      <c r="B40" s="203">
        <v>500</v>
      </c>
      <c r="C40" s="318">
        <v>500</v>
      </c>
    </row>
    <row r="41" spans="1:3" s="131" customFormat="1" ht="18" customHeight="1">
      <c r="A41" s="202"/>
      <c r="B41" s="203"/>
      <c r="C41" s="318"/>
    </row>
    <row r="42" spans="1:3" s="131" customFormat="1" ht="18" customHeight="1" thickBot="1">
      <c r="A42" s="205"/>
      <c r="B42" s="206"/>
      <c r="C42" s="411"/>
    </row>
    <row r="43" spans="1:3" s="131" customFormat="1" ht="18" customHeight="1" thickBot="1">
      <c r="A43" s="211" t="s">
        <v>326</v>
      </c>
      <c r="B43" s="212">
        <f>SUM(B40:B42)</f>
        <v>500</v>
      </c>
      <c r="C43" s="412">
        <f>SUM(C40:C42)</f>
        <v>500</v>
      </c>
    </row>
    <row r="44" spans="1:3" s="131" customFormat="1" ht="18" customHeight="1">
      <c r="A44" s="200"/>
      <c r="B44" s="201"/>
      <c r="C44" s="413"/>
    </row>
    <row r="45" spans="1:3" s="186" customFormat="1" ht="21" customHeight="1" thickBot="1">
      <c r="A45" s="204" t="s">
        <v>160</v>
      </c>
      <c r="B45" s="272">
        <f>B38+B43</f>
        <v>133800</v>
      </c>
      <c r="C45" s="414">
        <f>C38+C43</f>
        <v>108516</v>
      </c>
    </row>
    <row r="46" s="131" customFormat="1" ht="13.5" thickTop="1"/>
    <row r="47" s="131" customFormat="1" ht="12.75"/>
    <row r="48" s="131" customFormat="1" ht="12.75"/>
    <row r="49" s="131" customFormat="1" ht="12.75"/>
    <row r="50" s="131" customFormat="1" ht="12.75"/>
    <row r="51" s="131" customFormat="1" ht="12.75"/>
    <row r="52" s="131" customFormat="1" ht="12.75"/>
  </sheetData>
  <sheetProtection/>
  <mergeCells count="2">
    <mergeCell ref="B1:C1"/>
    <mergeCell ref="A1:A2"/>
  </mergeCells>
  <printOptions horizontalCentered="1"/>
  <pageMargins left="0.77" right="0.61" top="1.39" bottom="1.51" header="0.46" footer="1.15"/>
  <pageSetup blackAndWhite="1" fitToHeight="1" fitToWidth="1" horizontalDpi="120" verticalDpi="120" orientation="portrait" paperSize="9" scale="77" r:id="rId3"/>
  <headerFooter alignWithMargins="0">
    <oddHeader>&amp;C&amp;"Times New Roman CE,Normál"&amp;18Céltartalékok
&amp;11/ ezer Ft /&amp;R&amp;"MS Sans Serif,Félkövér"&amp;12 12.sz.melléklet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3.28125" style="0" customWidth="1"/>
    <col min="2" max="2" width="12.7109375" style="131" customWidth="1"/>
    <col min="3" max="3" width="12.7109375" style="194" customWidth="1"/>
  </cols>
  <sheetData>
    <row r="1" spans="1:3" ht="13.5" customHeight="1" thickTop="1">
      <c r="A1" s="452" t="s">
        <v>144</v>
      </c>
      <c r="B1" s="484" t="s">
        <v>211</v>
      </c>
      <c r="C1" s="485"/>
    </row>
    <row r="2" spans="1:3" ht="32.25" customHeight="1" thickBot="1">
      <c r="A2" s="453"/>
      <c r="B2" s="11" t="s">
        <v>340</v>
      </c>
      <c r="C2" s="61" t="s">
        <v>341</v>
      </c>
    </row>
    <row r="3" spans="1:3" s="73" customFormat="1" ht="18" customHeight="1">
      <c r="A3" s="162" t="s">
        <v>112</v>
      </c>
      <c r="B3" s="154"/>
      <c r="C3" s="416"/>
    </row>
    <row r="4" spans="1:3" ht="18" customHeight="1">
      <c r="A4" s="38" t="s">
        <v>264</v>
      </c>
      <c r="B4" s="157">
        <f>506674+950</f>
        <v>507624</v>
      </c>
      <c r="C4" s="422">
        <f>506674+950-1200-18509</f>
        <v>487915</v>
      </c>
    </row>
    <row r="5" spans="1:3" s="73" customFormat="1" ht="18" customHeight="1">
      <c r="A5" s="38" t="s">
        <v>110</v>
      </c>
      <c r="B5" s="158">
        <v>57688</v>
      </c>
      <c r="C5" s="417">
        <v>57688</v>
      </c>
    </row>
    <row r="6" spans="1:3" s="73" customFormat="1" ht="18" customHeight="1">
      <c r="A6" s="38" t="s">
        <v>377</v>
      </c>
      <c r="B6" s="158">
        <f>334190-299927</f>
        <v>34263</v>
      </c>
      <c r="C6" s="417">
        <f>334190-299927</f>
        <v>34263</v>
      </c>
    </row>
    <row r="7" spans="1:3" s="73" customFormat="1" ht="18" customHeight="1">
      <c r="A7" s="38" t="s">
        <v>382</v>
      </c>
      <c r="B7" s="158"/>
      <c r="C7" s="417">
        <v>56268</v>
      </c>
    </row>
    <row r="8" spans="1:3" s="73" customFormat="1" ht="18" customHeight="1">
      <c r="A8" s="102" t="s">
        <v>242</v>
      </c>
      <c r="B8" s="158"/>
      <c r="C8" s="417">
        <v>13650</v>
      </c>
    </row>
    <row r="9" spans="1:3" s="73" customFormat="1" ht="18" customHeight="1">
      <c r="A9" s="102" t="s">
        <v>107</v>
      </c>
      <c r="B9" s="126">
        <v>37124</v>
      </c>
      <c r="C9" s="418">
        <v>37124</v>
      </c>
    </row>
    <row r="10" spans="1:3" s="73" customFormat="1" ht="18" customHeight="1">
      <c r="A10" s="102" t="s">
        <v>297</v>
      </c>
      <c r="B10" s="126">
        <v>5800</v>
      </c>
      <c r="C10" s="418">
        <v>5800</v>
      </c>
    </row>
    <row r="11" spans="1:3" s="73" customFormat="1" ht="18" customHeight="1">
      <c r="A11" s="102" t="s">
        <v>323</v>
      </c>
      <c r="B11" s="126">
        <f>5500-1000</f>
        <v>4500</v>
      </c>
      <c r="C11" s="418">
        <f>5500-1000-381</f>
        <v>4119</v>
      </c>
    </row>
    <row r="12" spans="1:3" s="73" customFormat="1" ht="18" customHeight="1">
      <c r="A12" s="102" t="s">
        <v>293</v>
      </c>
      <c r="B12" s="126">
        <v>1229784</v>
      </c>
      <c r="C12" s="418">
        <v>1229784</v>
      </c>
    </row>
    <row r="13" spans="1:3" s="73" customFormat="1" ht="18" customHeight="1">
      <c r="A13" s="102" t="s">
        <v>285</v>
      </c>
      <c r="B13" s="126">
        <f>294000-262475</f>
        <v>31525</v>
      </c>
      <c r="C13" s="418">
        <f>294000-262475</f>
        <v>31525</v>
      </c>
    </row>
    <row r="14" spans="1:3" s="73" customFormat="1" ht="18" customHeight="1">
      <c r="A14" s="102" t="s">
        <v>284</v>
      </c>
      <c r="B14" s="126">
        <f>217500-193811</f>
        <v>23689</v>
      </c>
      <c r="C14" s="418">
        <f>217500-193811+8731</f>
        <v>32420</v>
      </c>
    </row>
    <row r="15" spans="1:3" s="73" customFormat="1" ht="18" customHeight="1">
      <c r="A15" s="102" t="s">
        <v>282</v>
      </c>
      <c r="B15" s="126">
        <v>26000</v>
      </c>
      <c r="C15" s="418">
        <f>26000+150</f>
        <v>26150</v>
      </c>
    </row>
    <row r="16" spans="1:3" s="73" customFormat="1" ht="18" customHeight="1">
      <c r="A16" s="102" t="s">
        <v>327</v>
      </c>
      <c r="B16" s="126">
        <v>3600</v>
      </c>
      <c r="C16" s="418">
        <v>3600</v>
      </c>
    </row>
    <row r="17" spans="1:3" s="73" customFormat="1" ht="18" customHeight="1">
      <c r="A17" s="102" t="s">
        <v>378</v>
      </c>
      <c r="B17" s="126">
        <f>2370+490</f>
        <v>2860</v>
      </c>
      <c r="C17" s="418">
        <f>2370+490</f>
        <v>2860</v>
      </c>
    </row>
    <row r="18" spans="1:3" s="73" customFormat="1" ht="18" customHeight="1">
      <c r="A18" s="102" t="s">
        <v>241</v>
      </c>
      <c r="B18" s="126"/>
      <c r="C18" s="418">
        <v>9808</v>
      </c>
    </row>
    <row r="19" spans="1:3" s="73" customFormat="1" ht="18" customHeight="1">
      <c r="A19" s="102" t="s">
        <v>294</v>
      </c>
      <c r="B19" s="126"/>
      <c r="C19" s="418">
        <f>450+13765+178</f>
        <v>14393</v>
      </c>
    </row>
    <row r="20" spans="1:3" s="73" customFormat="1" ht="18" customHeight="1">
      <c r="A20" s="38" t="s">
        <v>363</v>
      </c>
      <c r="B20" s="126"/>
      <c r="C20" s="418">
        <v>200</v>
      </c>
    </row>
    <row r="21" spans="1:3" s="73" customFormat="1" ht="18" customHeight="1">
      <c r="A21" s="51" t="s">
        <v>278</v>
      </c>
      <c r="B21" s="126"/>
      <c r="C21" s="418">
        <f>4445-4445</f>
        <v>0</v>
      </c>
    </row>
    <row r="22" spans="1:3" s="73" customFormat="1" ht="18" customHeight="1">
      <c r="A22" s="107" t="s">
        <v>366</v>
      </c>
      <c r="B22" s="126"/>
      <c r="C22" s="418">
        <v>2237</v>
      </c>
    </row>
    <row r="23" spans="1:3" s="73" customFormat="1" ht="18" customHeight="1">
      <c r="A23" s="102" t="s">
        <v>371</v>
      </c>
      <c r="B23" s="126"/>
      <c r="C23" s="418">
        <v>4587</v>
      </c>
    </row>
    <row r="24" spans="1:3" s="186" customFormat="1" ht="18" customHeight="1">
      <c r="A24" s="195" t="s">
        <v>325</v>
      </c>
      <c r="B24" s="207">
        <f>SUM(B4:B23)</f>
        <v>1964457</v>
      </c>
      <c r="C24" s="419">
        <f>SUM(C4:C23)</f>
        <v>2054391</v>
      </c>
    </row>
    <row r="25" spans="1:3" s="73" customFormat="1" ht="18" customHeight="1">
      <c r="A25" s="102" t="s">
        <v>283</v>
      </c>
      <c r="B25" s="126">
        <v>3000</v>
      </c>
      <c r="C25" s="418">
        <v>3000</v>
      </c>
    </row>
    <row r="26" spans="1:3" s="73" customFormat="1" ht="18" customHeight="1">
      <c r="A26" s="102" t="s">
        <v>92</v>
      </c>
      <c r="B26" s="126">
        <v>6000</v>
      </c>
      <c r="C26" s="418">
        <v>6000</v>
      </c>
    </row>
    <row r="27" spans="1:3" s="186" customFormat="1" ht="18" customHeight="1" thickBot="1">
      <c r="A27" s="195" t="s">
        <v>326</v>
      </c>
      <c r="B27" s="207">
        <f>SUM(B25:B26)</f>
        <v>9000</v>
      </c>
      <c r="C27" s="420">
        <f>SUM(C25:C26)</f>
        <v>9000</v>
      </c>
    </row>
    <row r="28" spans="1:3" s="73" customFormat="1" ht="18" customHeight="1" thickBot="1">
      <c r="A28" s="155" t="s">
        <v>328</v>
      </c>
      <c r="B28" s="160">
        <f>B24+B27</f>
        <v>1973457</v>
      </c>
      <c r="C28" s="421">
        <f>C24+C27</f>
        <v>2063391</v>
      </c>
    </row>
    <row r="29" ht="13.5" thickTop="1"/>
  </sheetData>
  <sheetProtection/>
  <mergeCells count="2">
    <mergeCell ref="B1:C1"/>
    <mergeCell ref="A1:A2"/>
  </mergeCells>
  <printOptions horizontalCentered="1"/>
  <pageMargins left="0.15" right="0.16" top="1.18" bottom="0.29" header="0.43" footer="0.29"/>
  <pageSetup horizontalDpi="240" verticalDpi="240" orientation="portrait" paperSize="9" scale="80" r:id="rId1"/>
  <headerFooter alignWithMargins="0">
    <oddHeader>&amp;L
&amp;C&amp;"Times New Roman CE,Félkövér"&amp;16Beruházások&amp;"Times New Roman CE,Normál"&amp;18
&amp;11/ezer Ft/&amp;R&amp;"MS Sans Serif,Félkövér"&amp;12 13.sz.melléklet</oddHeader>
    <oddFooter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12.7109375" style="131" customWidth="1"/>
  </cols>
  <sheetData>
    <row r="1" spans="1:3" ht="13.5" customHeight="1" thickTop="1">
      <c r="A1" s="452" t="s">
        <v>144</v>
      </c>
      <c r="B1" s="484" t="s">
        <v>211</v>
      </c>
      <c r="C1" s="485"/>
    </row>
    <row r="2" spans="1:3" ht="32.25" customHeight="1">
      <c r="A2" s="486"/>
      <c r="B2" s="1" t="s">
        <v>340</v>
      </c>
      <c r="C2" s="423" t="s">
        <v>341</v>
      </c>
    </row>
    <row r="3" spans="1:3" s="73" customFormat="1" ht="18" customHeight="1">
      <c r="A3" s="163" t="s">
        <v>109</v>
      </c>
      <c r="B3" s="159"/>
      <c r="C3" s="424"/>
    </row>
    <row r="4" spans="1:3" s="73" customFormat="1" ht="18" customHeight="1">
      <c r="A4" s="38"/>
      <c r="B4" s="139"/>
      <c r="C4" s="425"/>
    </row>
    <row r="5" spans="1:3" s="73" customFormat="1" ht="18" customHeight="1">
      <c r="A5" s="68" t="s">
        <v>296</v>
      </c>
      <c r="B5" s="138">
        <v>25000</v>
      </c>
      <c r="C5" s="426">
        <v>25000</v>
      </c>
    </row>
    <row r="6" spans="1:3" s="73" customFormat="1" ht="18" customHeight="1">
      <c r="A6" s="68" t="s">
        <v>361</v>
      </c>
      <c r="B6" s="138"/>
      <c r="C6" s="426">
        <v>654</v>
      </c>
    </row>
    <row r="7" spans="1:3" s="73" customFormat="1" ht="18" customHeight="1">
      <c r="A7" s="68" t="s">
        <v>337</v>
      </c>
      <c r="B7" s="138">
        <v>6300</v>
      </c>
      <c r="C7" s="426">
        <v>6300</v>
      </c>
    </row>
    <row r="8" spans="1:3" s="73" customFormat="1" ht="18" customHeight="1">
      <c r="A8" s="68" t="s">
        <v>393</v>
      </c>
      <c r="B8" s="138"/>
      <c r="C8" s="426">
        <v>6000</v>
      </c>
    </row>
    <row r="9" spans="1:3" s="73" customFormat="1" ht="18" customHeight="1">
      <c r="A9" s="68" t="s">
        <v>336</v>
      </c>
      <c r="B9" s="138">
        <v>6000</v>
      </c>
      <c r="C9" s="426">
        <v>6000</v>
      </c>
    </row>
    <row r="10" spans="1:3" s="73" customFormat="1" ht="18" customHeight="1">
      <c r="A10" s="68" t="s">
        <v>335</v>
      </c>
      <c r="B10" s="138">
        <v>7889</v>
      </c>
      <c r="C10" s="426">
        <v>7889</v>
      </c>
    </row>
    <row r="11" spans="1:3" s="73" customFormat="1" ht="18" customHeight="1">
      <c r="A11" s="68" t="s">
        <v>365</v>
      </c>
      <c r="B11" s="138"/>
      <c r="C11" s="426">
        <v>10500</v>
      </c>
    </row>
    <row r="12" spans="1:3" s="73" customFormat="1" ht="18" customHeight="1">
      <c r="A12" s="68" t="s">
        <v>392</v>
      </c>
      <c r="B12" s="138"/>
      <c r="C12" s="426">
        <v>3142</v>
      </c>
    </row>
    <row r="13" spans="1:3" s="73" customFormat="1" ht="18" customHeight="1" thickBot="1">
      <c r="A13" s="68"/>
      <c r="B13" s="138"/>
      <c r="C13" s="426"/>
    </row>
    <row r="14" spans="1:3" s="73" customFormat="1" ht="18" customHeight="1" thickBot="1">
      <c r="A14" s="155" t="s">
        <v>329</v>
      </c>
      <c r="B14" s="152">
        <f>SUM(B4:B13)</f>
        <v>45189</v>
      </c>
      <c r="C14" s="421">
        <f>SUM(C4:C13)</f>
        <v>65485</v>
      </c>
    </row>
    <row r="15" ht="13.5" thickTop="1"/>
  </sheetData>
  <sheetProtection/>
  <mergeCells count="2">
    <mergeCell ref="B1:C1"/>
    <mergeCell ref="A1:A2"/>
  </mergeCells>
  <printOptions/>
  <pageMargins left="1.39" right="0.25" top="2.16" bottom="0.984251968503937" header="1.21" footer="0.5118110236220472"/>
  <pageSetup horizontalDpi="600" verticalDpi="600" orientation="portrait" paperSize="9" r:id="rId1"/>
  <headerFooter alignWithMargins="0">
    <oddHeader>&amp;C&amp;"Times New Roman,Félkövér"&amp;16Felújítások
&amp;"Times New Roman,Normál"&amp;12/ezer Ft/&amp;R&amp;"MS Sans Serif,Félkövér"&amp;12 14.sz.melléklet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pane xSplit="1" ySplit="2" topLeftCell="F3" activePane="bottomRight" state="frozen"/>
      <selection pane="topLeft" activeCell="N26" sqref="N26"/>
      <selection pane="topRight" activeCell="N26" sqref="N26"/>
      <selection pane="bottomLeft" activeCell="N26" sqref="N26"/>
      <selection pane="bottomRight" activeCell="F15" sqref="F15"/>
    </sheetView>
  </sheetViews>
  <sheetFormatPr defaultColWidth="9.140625" defaultRowHeight="12.75"/>
  <cols>
    <col min="1" max="1" width="33.7109375" style="0" customWidth="1"/>
    <col min="2" max="3" width="8.28125" style="131" customWidth="1"/>
    <col min="4" max="4" width="7.140625" style="0" customWidth="1"/>
    <col min="5" max="5" width="9.57421875" style="0" customWidth="1"/>
    <col min="6" max="6" width="10.57421875" style="0" customWidth="1"/>
    <col min="7" max="7" width="8.00390625" style="131" customWidth="1"/>
    <col min="8" max="8" width="9.28125" style="131" bestFit="1" customWidth="1"/>
    <col min="9" max="9" width="7.8515625" style="131" customWidth="1"/>
    <col min="10" max="10" width="9.00390625" style="131" customWidth="1"/>
    <col min="11" max="11" width="10.7109375" style="131" customWidth="1"/>
  </cols>
  <sheetData>
    <row r="1" spans="1:11" ht="16.5" thickTop="1">
      <c r="A1" s="450" t="s">
        <v>144</v>
      </c>
      <c r="B1" s="42" t="s">
        <v>338</v>
      </c>
      <c r="C1" s="42"/>
      <c r="D1" s="43"/>
      <c r="E1" s="43"/>
      <c r="F1" s="44"/>
      <c r="G1" s="42" t="s">
        <v>342</v>
      </c>
      <c r="H1" s="42"/>
      <c r="I1" s="43"/>
      <c r="J1" s="43"/>
      <c r="K1" s="296"/>
    </row>
    <row r="2" spans="1:11" ht="16.5" thickBot="1">
      <c r="A2" s="451"/>
      <c r="B2" s="9" t="s">
        <v>145</v>
      </c>
      <c r="C2" s="11" t="s">
        <v>240</v>
      </c>
      <c r="D2" s="9" t="s">
        <v>146</v>
      </c>
      <c r="E2" s="9" t="s">
        <v>147</v>
      </c>
      <c r="F2" s="10" t="s">
        <v>140</v>
      </c>
      <c r="G2" s="9" t="s">
        <v>145</v>
      </c>
      <c r="H2" s="11" t="s">
        <v>240</v>
      </c>
      <c r="I2" s="9" t="s">
        <v>146</v>
      </c>
      <c r="J2" s="9" t="s">
        <v>147</v>
      </c>
      <c r="K2" s="297" t="s">
        <v>140</v>
      </c>
    </row>
    <row r="3" spans="1:11" ht="24" customHeight="1">
      <c r="A3" s="41" t="s">
        <v>62</v>
      </c>
      <c r="B3" s="124">
        <v>38000</v>
      </c>
      <c r="C3" s="124">
        <f>219868+35612</f>
        <v>255480</v>
      </c>
      <c r="D3" s="53"/>
      <c r="E3" s="52">
        <f>F3-B3-C3</f>
        <v>31966</v>
      </c>
      <c r="F3" s="54">
        <f>'Önálló int.kiadása'!I3</f>
        <v>325446</v>
      </c>
      <c r="G3" s="124">
        <v>39452</v>
      </c>
      <c r="H3" s="124">
        <v>256100</v>
      </c>
      <c r="I3" s="124">
        <v>21689</v>
      </c>
      <c r="J3" s="52">
        <f>K3-H3-G3-I3</f>
        <v>45506</v>
      </c>
      <c r="K3" s="298">
        <f>'Önálló int.kiadása'!Q3</f>
        <v>362747</v>
      </c>
    </row>
    <row r="4" spans="1:11" ht="24" customHeight="1">
      <c r="A4" s="41" t="s">
        <v>193</v>
      </c>
      <c r="B4" s="124">
        <v>24677</v>
      </c>
      <c r="C4" s="124"/>
      <c r="D4" s="53"/>
      <c r="E4" s="52">
        <f>F4-B4</f>
        <v>243528</v>
      </c>
      <c r="F4" s="54">
        <f>'Önálló int.kiadása'!I4</f>
        <v>268205</v>
      </c>
      <c r="G4" s="124">
        <v>26510</v>
      </c>
      <c r="H4" s="124">
        <v>0</v>
      </c>
      <c r="I4" s="124">
        <v>8237</v>
      </c>
      <c r="J4" s="52">
        <f>K4-G4-H4-I4</f>
        <v>251061</v>
      </c>
      <c r="K4" s="298">
        <f>'Önálló int.kiadása'!Q4</f>
        <v>285808</v>
      </c>
    </row>
    <row r="5" spans="1:11" ht="24" customHeight="1">
      <c r="A5" s="41" t="s">
        <v>194</v>
      </c>
      <c r="B5" s="124">
        <v>28166</v>
      </c>
      <c r="C5" s="124"/>
      <c r="D5" s="53"/>
      <c r="E5" s="52">
        <f aca="true" t="shared" si="0" ref="E5:E15">F5-B5</f>
        <v>218931</v>
      </c>
      <c r="F5" s="54">
        <f>'Önálló int.kiadása'!I5</f>
        <v>247097</v>
      </c>
      <c r="G5" s="124">
        <v>35486</v>
      </c>
      <c r="H5" s="124">
        <v>6441</v>
      </c>
      <c r="I5" s="124">
        <v>2230</v>
      </c>
      <c r="J5" s="52">
        <f aca="true" t="shared" si="1" ref="J5:J15">K5-G5-H5-I5</f>
        <v>227194</v>
      </c>
      <c r="K5" s="298">
        <f>'Önálló int.kiadása'!Q5</f>
        <v>271351</v>
      </c>
    </row>
    <row r="6" spans="1:11" ht="24" customHeight="1">
      <c r="A6" s="41" t="s">
        <v>195</v>
      </c>
      <c r="B6" s="124">
        <v>26750</v>
      </c>
      <c r="C6" s="124"/>
      <c r="D6" s="53"/>
      <c r="E6" s="52">
        <f t="shared" si="0"/>
        <v>212384</v>
      </c>
      <c r="F6" s="54">
        <f>'Önálló int.kiadása'!I6</f>
        <v>239134</v>
      </c>
      <c r="G6" s="124">
        <v>26805</v>
      </c>
      <c r="H6" s="124">
        <v>6000</v>
      </c>
      <c r="I6" s="124">
        <v>4657</v>
      </c>
      <c r="J6" s="52">
        <f t="shared" si="1"/>
        <v>220567</v>
      </c>
      <c r="K6" s="298">
        <f>'Önálló int.kiadása'!Q6</f>
        <v>258029</v>
      </c>
    </row>
    <row r="7" spans="1:11" ht="24" customHeight="1">
      <c r="A7" s="41" t="s">
        <v>196</v>
      </c>
      <c r="B7" s="124">
        <v>9186</v>
      </c>
      <c r="C7" s="124"/>
      <c r="D7" s="53"/>
      <c r="E7" s="52">
        <f t="shared" si="0"/>
        <v>194245</v>
      </c>
      <c r="F7" s="54">
        <f>'Önálló int.kiadása'!I7</f>
        <v>203431</v>
      </c>
      <c r="G7" s="124">
        <v>9186</v>
      </c>
      <c r="H7" s="124">
        <v>1112</v>
      </c>
      <c r="I7" s="124">
        <v>2912</v>
      </c>
      <c r="J7" s="52">
        <f t="shared" si="1"/>
        <v>200869</v>
      </c>
      <c r="K7" s="298">
        <f>'Önálló int.kiadása'!Q7</f>
        <v>214079</v>
      </c>
    </row>
    <row r="8" spans="1:11" ht="24" customHeight="1">
      <c r="A8" s="41" t="s">
        <v>197</v>
      </c>
      <c r="B8" s="124">
        <v>40370</v>
      </c>
      <c r="C8" s="124"/>
      <c r="D8" s="53"/>
      <c r="E8" s="52">
        <f t="shared" si="0"/>
        <v>234565</v>
      </c>
      <c r="F8" s="54">
        <f>'Önálló int.kiadása'!I8</f>
        <v>274935</v>
      </c>
      <c r="G8" s="124">
        <v>68602</v>
      </c>
      <c r="H8" s="124">
        <v>11665</v>
      </c>
      <c r="I8" s="124">
        <v>11517</v>
      </c>
      <c r="J8" s="52">
        <f t="shared" si="1"/>
        <v>240177</v>
      </c>
      <c r="K8" s="298">
        <f>'Önálló int.kiadása'!Q8</f>
        <v>331961</v>
      </c>
    </row>
    <row r="9" spans="1:11" ht="24" customHeight="1">
      <c r="A9" s="41" t="s">
        <v>198</v>
      </c>
      <c r="B9" s="124">
        <v>2364</v>
      </c>
      <c r="C9" s="124"/>
      <c r="D9" s="53"/>
      <c r="E9" s="52">
        <f t="shared" si="0"/>
        <v>229548</v>
      </c>
      <c r="F9" s="54">
        <f>'Önálló int.kiadása'!I9</f>
        <v>231912</v>
      </c>
      <c r="G9" s="124">
        <v>5602</v>
      </c>
      <c r="H9" s="124">
        <v>2894</v>
      </c>
      <c r="I9" s="124">
        <v>9115</v>
      </c>
      <c r="J9" s="52">
        <f t="shared" si="1"/>
        <v>238268</v>
      </c>
      <c r="K9" s="298">
        <f>'Önálló int.kiadása'!Q9</f>
        <v>255879</v>
      </c>
    </row>
    <row r="10" spans="1:11" ht="24" customHeight="1">
      <c r="A10" s="8" t="s">
        <v>149</v>
      </c>
      <c r="B10" s="124">
        <v>7910</v>
      </c>
      <c r="C10" s="124">
        <v>3000</v>
      </c>
      <c r="D10" s="53"/>
      <c r="E10" s="52">
        <f>F10-B10-C10</f>
        <v>136312</v>
      </c>
      <c r="F10" s="54">
        <f>'Önálló int.kiadása'!I10</f>
        <v>147222</v>
      </c>
      <c r="G10" s="124">
        <v>9627</v>
      </c>
      <c r="H10" s="124">
        <v>5926</v>
      </c>
      <c r="I10" s="124">
        <v>11322</v>
      </c>
      <c r="J10" s="52">
        <f t="shared" si="1"/>
        <v>139737</v>
      </c>
      <c r="K10" s="298">
        <f>'Önálló int.kiadása'!Q10</f>
        <v>166612</v>
      </c>
    </row>
    <row r="11" spans="1:11" ht="24" customHeight="1">
      <c r="A11" s="8" t="s">
        <v>150</v>
      </c>
      <c r="B11" s="124">
        <v>103658</v>
      </c>
      <c r="C11" s="124"/>
      <c r="D11" s="53"/>
      <c r="E11" s="52">
        <f t="shared" si="0"/>
        <v>99862</v>
      </c>
      <c r="F11" s="54">
        <f>'Önálló int.kiadása'!I11</f>
        <v>203520</v>
      </c>
      <c r="G11" s="124">
        <v>112113</v>
      </c>
      <c r="H11" s="124"/>
      <c r="I11" s="124">
        <v>7966</v>
      </c>
      <c r="J11" s="52">
        <f t="shared" si="1"/>
        <v>104006</v>
      </c>
      <c r="K11" s="298">
        <f>'Önálló int.kiadása'!Q11</f>
        <v>224085</v>
      </c>
    </row>
    <row r="12" spans="1:11" ht="24" customHeight="1">
      <c r="A12" s="41" t="s">
        <v>299</v>
      </c>
      <c r="B12" s="124">
        <v>46211</v>
      </c>
      <c r="C12" s="124"/>
      <c r="D12" s="53"/>
      <c r="E12" s="52">
        <f t="shared" si="0"/>
        <v>472582</v>
      </c>
      <c r="F12" s="54">
        <f>'Önálló int.kiadása'!I12</f>
        <v>518793</v>
      </c>
      <c r="G12" s="124">
        <v>44879</v>
      </c>
      <c r="H12" s="124">
        <v>1692</v>
      </c>
      <c r="I12" s="124">
        <v>7828</v>
      </c>
      <c r="J12" s="52">
        <f t="shared" si="1"/>
        <v>493244</v>
      </c>
      <c r="K12" s="298">
        <f>'Önálló int.kiadása'!Q12</f>
        <v>547643</v>
      </c>
    </row>
    <row r="13" spans="1:11" ht="24" customHeight="1">
      <c r="A13" s="41" t="s">
        <v>199</v>
      </c>
      <c r="B13" s="124">
        <v>12945</v>
      </c>
      <c r="C13" s="124"/>
      <c r="D13" s="53"/>
      <c r="E13" s="52">
        <f t="shared" si="0"/>
        <v>124073</v>
      </c>
      <c r="F13" s="54">
        <f>'Önálló int.kiadása'!I13</f>
        <v>137018</v>
      </c>
      <c r="G13" s="124">
        <v>9802</v>
      </c>
      <c r="H13" s="124">
        <v>25922</v>
      </c>
      <c r="I13" s="124">
        <v>958</v>
      </c>
      <c r="J13" s="52">
        <f t="shared" si="1"/>
        <v>138543</v>
      </c>
      <c r="K13" s="298">
        <f>'Önálló int.kiadása'!Q13</f>
        <v>175225</v>
      </c>
    </row>
    <row r="14" spans="1:11" ht="24" customHeight="1">
      <c r="A14" s="41" t="s">
        <v>200</v>
      </c>
      <c r="B14" s="124">
        <v>4445</v>
      </c>
      <c r="C14" s="124"/>
      <c r="D14" s="53"/>
      <c r="E14" s="52">
        <f t="shared" si="0"/>
        <v>19421</v>
      </c>
      <c r="F14" s="54">
        <f>'Önálló int.kiadása'!I14</f>
        <v>23866</v>
      </c>
      <c r="G14" s="124">
        <v>4455</v>
      </c>
      <c r="H14" s="124">
        <v>2074</v>
      </c>
      <c r="I14" s="124">
        <v>143</v>
      </c>
      <c r="J14" s="52">
        <f t="shared" si="1"/>
        <v>20132</v>
      </c>
      <c r="K14" s="298">
        <f>'Önálló int.kiadása'!Q14</f>
        <v>26804</v>
      </c>
    </row>
    <row r="15" spans="1:11" ht="24" customHeight="1">
      <c r="A15" s="41" t="s">
        <v>151</v>
      </c>
      <c r="B15" s="124">
        <f>'Egyéb bevételek (2)'!B25+'Vagyonhasznositási bevétel (2)'!B10</f>
        <v>61547</v>
      </c>
      <c r="C15" s="124"/>
      <c r="D15" s="53"/>
      <c r="E15" s="52">
        <f t="shared" si="0"/>
        <v>593540</v>
      </c>
      <c r="F15" s="54">
        <f>'Önálló int.kiadása'!I15</f>
        <v>655087</v>
      </c>
      <c r="G15" s="124">
        <f>'Egyéb bevételek (2)'!C25+'Vagyonhasznositási bevétel (2)'!C10</f>
        <v>86499</v>
      </c>
      <c r="H15" s="124"/>
      <c r="I15" s="124"/>
      <c r="J15" s="52">
        <f t="shared" si="1"/>
        <v>870956</v>
      </c>
      <c r="K15" s="298">
        <f>'Önálló int.kiadása'!Q15</f>
        <v>957455</v>
      </c>
    </row>
    <row r="16" spans="1:11" ht="24" customHeight="1" thickBot="1">
      <c r="A16" s="41"/>
      <c r="B16" s="124"/>
      <c r="C16" s="124"/>
      <c r="D16" s="53"/>
      <c r="E16" s="52"/>
      <c r="F16" s="54"/>
      <c r="G16" s="124"/>
      <c r="H16" s="124"/>
      <c r="I16" s="124"/>
      <c r="J16" s="52"/>
      <c r="K16" s="298"/>
    </row>
    <row r="17" spans="1:11" s="73" customFormat="1" ht="24" customHeight="1" thickBot="1">
      <c r="A17" s="292" t="s">
        <v>140</v>
      </c>
      <c r="B17" s="293">
        <f aca="true" t="shared" si="2" ref="B17:K17">SUM(B3:B16)</f>
        <v>406229</v>
      </c>
      <c r="C17" s="293"/>
      <c r="D17" s="293">
        <f t="shared" si="2"/>
        <v>0</v>
      </c>
      <c r="E17" s="293">
        <f t="shared" si="2"/>
        <v>2810957</v>
      </c>
      <c r="F17" s="294">
        <f t="shared" si="2"/>
        <v>3475666</v>
      </c>
      <c r="G17" s="293">
        <f t="shared" si="2"/>
        <v>479018</v>
      </c>
      <c r="H17" s="293">
        <f t="shared" si="2"/>
        <v>319826</v>
      </c>
      <c r="I17" s="293">
        <f t="shared" si="2"/>
        <v>88574</v>
      </c>
      <c r="J17" s="293">
        <f t="shared" si="2"/>
        <v>3190260</v>
      </c>
      <c r="K17" s="299">
        <f t="shared" si="2"/>
        <v>4077678</v>
      </c>
    </row>
    <row r="18" ht="13.5" thickTop="1"/>
  </sheetData>
  <sheetProtection/>
  <mergeCells count="1">
    <mergeCell ref="A1:A2"/>
  </mergeCells>
  <printOptions horizontalCentered="1"/>
  <pageMargins left="0.3937007874015748" right="0.7480314960629921" top="1.4960629921259843" bottom="0.96" header="0.28" footer="0.48"/>
  <pageSetup fitToHeight="1" fitToWidth="1" horizontalDpi="240" verticalDpi="240" orientation="landscape" paperSize="9" r:id="rId1"/>
  <headerFooter alignWithMargins="0">
    <oddHeader>&amp;C&amp;"Times New Roman CE,Félkövér"&amp;16Önállóan gazdálkodó intézmények bevételei&amp;"Times New Roman CE,Normál"&amp;14
&amp;11/ ezer Ft /&amp;R&amp;"MS Sans Serif,Félkövér"&amp;12 1/a.sz.melléklet</oddHeader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pane xSplit="1" ySplit="2" topLeftCell="G3" activePane="bottomRight" state="frozen"/>
      <selection pane="topLeft" activeCell="N26" sqref="N26"/>
      <selection pane="topRight" activeCell="N26" sqref="N26"/>
      <selection pane="bottomLeft" activeCell="N26" sqref="N26"/>
      <selection pane="bottomRight" activeCell="I10" sqref="I10"/>
    </sheetView>
  </sheetViews>
  <sheetFormatPr defaultColWidth="9.140625" defaultRowHeight="12.75"/>
  <cols>
    <col min="1" max="1" width="36.57421875" style="0" bestFit="1" customWidth="1"/>
    <col min="4" max="4" width="8.28125" style="0" customWidth="1"/>
    <col min="5" max="5" width="8.57421875" style="0" customWidth="1"/>
    <col min="6" max="6" width="11.8515625" style="0" customWidth="1"/>
    <col min="7" max="8" width="9.28125" style="0" customWidth="1"/>
    <col min="9" max="9" width="8.421875" style="0" customWidth="1"/>
    <col min="11" max="11" width="11.57421875" style="0" customWidth="1"/>
  </cols>
  <sheetData>
    <row r="1" spans="1:11" ht="16.5" thickTop="1">
      <c r="A1" s="452" t="s">
        <v>144</v>
      </c>
      <c r="B1" s="78" t="s">
        <v>338</v>
      </c>
      <c r="C1" s="78"/>
      <c r="D1" s="46"/>
      <c r="E1" s="46"/>
      <c r="F1" s="47"/>
      <c r="G1" s="45" t="s">
        <v>339</v>
      </c>
      <c r="H1" s="78"/>
      <c r="I1" s="46"/>
      <c r="J1" s="46"/>
      <c r="K1" s="300"/>
    </row>
    <row r="2" spans="1:11" ht="16.5" thickBot="1">
      <c r="A2" s="453"/>
      <c r="B2" s="79" t="s">
        <v>145</v>
      </c>
      <c r="C2" s="11" t="s">
        <v>240</v>
      </c>
      <c r="D2" s="9" t="s">
        <v>146</v>
      </c>
      <c r="E2" s="9" t="s">
        <v>147</v>
      </c>
      <c r="F2" s="12" t="s">
        <v>140</v>
      </c>
      <c r="G2" s="9" t="s">
        <v>145</v>
      </c>
      <c r="H2" s="11" t="s">
        <v>240</v>
      </c>
      <c r="I2" s="9" t="s">
        <v>146</v>
      </c>
      <c r="J2" s="9" t="s">
        <v>147</v>
      </c>
      <c r="K2" s="301" t="s">
        <v>140</v>
      </c>
    </row>
    <row r="3" spans="1:11" s="73" customFormat="1" ht="19.5" customHeight="1">
      <c r="A3" s="39" t="s">
        <v>60</v>
      </c>
      <c r="B3" s="92">
        <v>0</v>
      </c>
      <c r="C3" s="93">
        <v>18598</v>
      </c>
      <c r="D3" s="57"/>
      <c r="E3" s="57">
        <f>F3-B3-D3-C3</f>
        <v>48678</v>
      </c>
      <c r="F3" s="58">
        <f>'Részben önálló int.kiadása'!H3</f>
        <v>67276</v>
      </c>
      <c r="G3" s="92">
        <v>73</v>
      </c>
      <c r="H3" s="93">
        <v>17345</v>
      </c>
      <c r="I3" s="57">
        <v>4105</v>
      </c>
      <c r="J3" s="57">
        <f>K3-I3-G3-H3</f>
        <v>50616</v>
      </c>
      <c r="K3" s="302">
        <f>'Részben önálló int.kiadása'!P3</f>
        <v>72139</v>
      </c>
    </row>
    <row r="4" spans="1:11" s="73" customFormat="1" ht="19.5" customHeight="1">
      <c r="A4" s="38" t="s">
        <v>222</v>
      </c>
      <c r="B4" s="92">
        <v>3400</v>
      </c>
      <c r="C4" s="93"/>
      <c r="D4" s="57"/>
      <c r="E4" s="57">
        <f>F4-B4-D4</f>
        <v>68837</v>
      </c>
      <c r="F4" s="58">
        <f>'Részben önálló int.kiadása'!H4</f>
        <v>72237</v>
      </c>
      <c r="G4" s="92">
        <v>3412</v>
      </c>
      <c r="H4" s="93"/>
      <c r="I4" s="57">
        <v>2266</v>
      </c>
      <c r="J4" s="57">
        <f>K4-I4-G4-H4</f>
        <v>71940</v>
      </c>
      <c r="K4" s="302">
        <f>'Részben önálló int.kiadása'!P4</f>
        <v>77618</v>
      </c>
    </row>
    <row r="5" spans="1:11" s="73" customFormat="1" ht="19.5" customHeight="1">
      <c r="A5" s="38" t="s">
        <v>223</v>
      </c>
      <c r="B5" s="92">
        <v>8152</v>
      </c>
      <c r="C5" s="93"/>
      <c r="D5" s="57"/>
      <c r="E5" s="57">
        <f>F5-B5-D5</f>
        <v>78805</v>
      </c>
      <c r="F5" s="58">
        <f>'Részben önálló int.kiadása'!H5</f>
        <v>86957</v>
      </c>
      <c r="G5" s="92">
        <v>7124</v>
      </c>
      <c r="H5" s="93">
        <v>744</v>
      </c>
      <c r="I5" s="57">
        <v>1974</v>
      </c>
      <c r="J5" s="57">
        <f>K5-I5-G5-H5</f>
        <v>83178</v>
      </c>
      <c r="K5" s="302">
        <f>'Részben önálló int.kiadása'!P5</f>
        <v>93020</v>
      </c>
    </row>
    <row r="6" spans="1:11" s="73" customFormat="1" ht="19.5" customHeight="1">
      <c r="A6" s="48" t="s">
        <v>29</v>
      </c>
      <c r="B6" s="77">
        <f aca="true" t="shared" si="0" ref="B6:J6">SUM(B3:B5)</f>
        <v>11552</v>
      </c>
      <c r="C6" s="76">
        <f t="shared" si="0"/>
        <v>18598</v>
      </c>
      <c r="D6" s="76">
        <f t="shared" si="0"/>
        <v>0</v>
      </c>
      <c r="E6" s="76">
        <f t="shared" si="0"/>
        <v>196320</v>
      </c>
      <c r="F6" s="76">
        <f t="shared" si="0"/>
        <v>226470</v>
      </c>
      <c r="G6" s="95">
        <f t="shared" si="0"/>
        <v>10609</v>
      </c>
      <c r="H6" s="91">
        <f t="shared" si="0"/>
        <v>18089</v>
      </c>
      <c r="I6" s="91">
        <f t="shared" si="0"/>
        <v>8345</v>
      </c>
      <c r="J6" s="77">
        <f t="shared" si="0"/>
        <v>205734</v>
      </c>
      <c r="K6" s="303">
        <f>'Részben önálló int.kiadása'!P6</f>
        <v>242777</v>
      </c>
    </row>
    <row r="7" spans="1:11" s="73" customFormat="1" ht="19.5" customHeight="1">
      <c r="A7" s="48"/>
      <c r="B7" s="77"/>
      <c r="C7" s="218"/>
      <c r="D7" s="76"/>
      <c r="E7" s="76"/>
      <c r="F7" s="150"/>
      <c r="G7" s="95"/>
      <c r="H7" s="91"/>
      <c r="I7" s="91"/>
      <c r="J7" s="91"/>
      <c r="K7" s="304"/>
    </row>
    <row r="8" spans="1:11" ht="19.5" customHeight="1">
      <c r="A8" s="38" t="s">
        <v>235</v>
      </c>
      <c r="B8" s="120">
        <v>1812</v>
      </c>
      <c r="C8" s="143"/>
      <c r="D8" s="53"/>
      <c r="E8" s="53">
        <f>F8-B8-C8-D8</f>
        <v>14791</v>
      </c>
      <c r="F8" s="54">
        <f>'Részben önálló int.kiadása'!H8</f>
        <v>16603</v>
      </c>
      <c r="G8" s="120">
        <f>1812+1556</f>
        <v>3368</v>
      </c>
      <c r="H8" s="219">
        <v>219</v>
      </c>
      <c r="I8" s="53"/>
      <c r="J8" s="53">
        <f>K8-G8-H8-I8</f>
        <v>17772</v>
      </c>
      <c r="K8" s="305">
        <f>'Részben önálló int.kiadása'!P8</f>
        <v>21359</v>
      </c>
    </row>
    <row r="9" spans="1:11" ht="19.5" customHeight="1">
      <c r="A9" s="38"/>
      <c r="B9" s="66"/>
      <c r="C9" s="219"/>
      <c r="D9" s="53"/>
      <c r="E9" s="53"/>
      <c r="F9" s="54"/>
      <c r="G9" s="66"/>
      <c r="H9" s="219"/>
      <c r="I9" s="53"/>
      <c r="J9" s="53"/>
      <c r="K9" s="305"/>
    </row>
    <row r="10" spans="1:11" s="73" customFormat="1" ht="19.5" customHeight="1">
      <c r="A10" s="121" t="s">
        <v>56</v>
      </c>
      <c r="B10" s="217">
        <f aca="true" t="shared" si="1" ref="B10:K10">SUM(B8:B9)</f>
        <v>1812</v>
      </c>
      <c r="C10" s="76">
        <f t="shared" si="1"/>
        <v>0</v>
      </c>
      <c r="D10" s="76">
        <f t="shared" si="1"/>
        <v>0</v>
      </c>
      <c r="E10" s="76">
        <f t="shared" si="1"/>
        <v>14791</v>
      </c>
      <c r="F10" s="72">
        <f t="shared" si="1"/>
        <v>16603</v>
      </c>
      <c r="G10" s="77">
        <f t="shared" si="1"/>
        <v>3368</v>
      </c>
      <c r="H10" s="76">
        <f t="shared" si="1"/>
        <v>219</v>
      </c>
      <c r="I10" s="76">
        <f t="shared" si="1"/>
        <v>0</v>
      </c>
      <c r="J10" s="76">
        <f t="shared" si="1"/>
        <v>17772</v>
      </c>
      <c r="K10" s="303">
        <f t="shared" si="1"/>
        <v>21359</v>
      </c>
    </row>
    <row r="11" spans="1:11" ht="19.5" customHeight="1" thickBot="1">
      <c r="A11" s="80" t="s">
        <v>140</v>
      </c>
      <c r="B11" s="70">
        <f>SUM(B10,B6)</f>
        <v>13364</v>
      </c>
      <c r="C11" s="49">
        <f>SUM(C10,C6)</f>
        <v>18598</v>
      </c>
      <c r="D11" s="49">
        <f>SUM(D10,D6)</f>
        <v>0</v>
      </c>
      <c r="E11" s="49">
        <f>SUM(E10,E6)</f>
        <v>211111</v>
      </c>
      <c r="F11" s="56">
        <f aca="true" t="shared" si="2" ref="F11:K11">SUM(F6+F10)</f>
        <v>243073</v>
      </c>
      <c r="G11" s="70">
        <f t="shared" si="2"/>
        <v>13977</v>
      </c>
      <c r="H11" s="49">
        <f t="shared" si="2"/>
        <v>18308</v>
      </c>
      <c r="I11" s="49">
        <f t="shared" si="2"/>
        <v>8345</v>
      </c>
      <c r="J11" s="49">
        <f t="shared" si="2"/>
        <v>223506</v>
      </c>
      <c r="K11" s="306">
        <f t="shared" si="2"/>
        <v>264136</v>
      </c>
    </row>
    <row r="12" ht="13.5" thickTop="1"/>
  </sheetData>
  <sheetProtection/>
  <mergeCells count="1">
    <mergeCell ref="A1:A2"/>
  </mergeCells>
  <printOptions horizontalCentered="1"/>
  <pageMargins left="0.5905511811023623" right="0.5905511811023623" top="2.15" bottom="1.85" header="1.16" footer="1.65"/>
  <pageSetup fitToHeight="1" fitToWidth="1" horizontalDpi="120" verticalDpi="120" orientation="landscape" paperSize="9" r:id="rId1"/>
  <headerFooter alignWithMargins="0">
    <oddHeader>&amp;C&amp;"Times New Roman CE,Félkövér"&amp;16Önállóan működő intézmények bevételei&amp;"Times New Roman CE,Normál"&amp;18
&amp;11/ ezer Ft /&amp;R&amp;"MS Sans Serif,Félkövér"&amp;12 1/b.sz.melléklet</oddHeader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8.8515625" style="0" bestFit="1" customWidth="1"/>
    <col min="2" max="2" width="12.7109375" style="0" customWidth="1"/>
    <col min="3" max="3" width="12.7109375" style="131" customWidth="1"/>
  </cols>
  <sheetData>
    <row r="1" spans="1:3" ht="16.5" thickTop="1">
      <c r="A1" s="454" t="s">
        <v>144</v>
      </c>
      <c r="B1" s="456" t="s">
        <v>232</v>
      </c>
      <c r="C1" s="457"/>
    </row>
    <row r="2" spans="1:3" ht="16.5" thickBot="1">
      <c r="A2" s="455"/>
      <c r="B2" s="123" t="s">
        <v>340</v>
      </c>
      <c r="C2" s="61" t="s">
        <v>341</v>
      </c>
    </row>
    <row r="3" spans="1:3" ht="18" customHeight="1">
      <c r="A3" s="15" t="s">
        <v>152</v>
      </c>
      <c r="B3" s="220">
        <v>320000</v>
      </c>
      <c r="C3" s="307">
        <v>320000</v>
      </c>
    </row>
    <row r="4" spans="1:3" ht="18" customHeight="1">
      <c r="A4" s="38" t="s">
        <v>301</v>
      </c>
      <c r="B4" s="220">
        <v>125000</v>
      </c>
      <c r="C4" s="307">
        <v>125000</v>
      </c>
    </row>
    <row r="5" spans="1:3" ht="18" customHeight="1">
      <c r="A5" s="38" t="s">
        <v>348</v>
      </c>
      <c r="B5" s="220"/>
      <c r="C5" s="307"/>
    </row>
    <row r="6" spans="1:3" ht="18" customHeight="1">
      <c r="A6" s="38" t="s">
        <v>246</v>
      </c>
      <c r="B6" s="220">
        <f>800000+14511</f>
        <v>814511</v>
      </c>
      <c r="C6" s="307">
        <f>800000+14511</f>
        <v>814511</v>
      </c>
    </row>
    <row r="7" spans="1:3" ht="18" customHeight="1">
      <c r="A7" s="38" t="s">
        <v>349</v>
      </c>
      <c r="B7" s="220"/>
      <c r="C7" s="307"/>
    </row>
    <row r="8" spans="1:3" ht="18" customHeight="1">
      <c r="A8" s="38" t="s">
        <v>346</v>
      </c>
      <c r="B8" s="220"/>
      <c r="C8" s="307"/>
    </row>
    <row r="9" spans="1:3" ht="18" customHeight="1">
      <c r="A9" s="38" t="s">
        <v>187</v>
      </c>
      <c r="B9" s="220"/>
      <c r="C9" s="315">
        <f>2603+2733+4733</f>
        <v>10069</v>
      </c>
    </row>
    <row r="10" spans="1:3" s="269" customFormat="1" ht="18" customHeight="1">
      <c r="A10" s="288" t="s">
        <v>8</v>
      </c>
      <c r="B10" s="289">
        <f>SUM(B3:B9)</f>
        <v>1259511</v>
      </c>
      <c r="C10" s="308">
        <f>SUM(C3:C9)</f>
        <v>1269580</v>
      </c>
    </row>
    <row r="11" spans="1:3" ht="18" customHeight="1">
      <c r="A11" s="51" t="s">
        <v>10</v>
      </c>
      <c r="B11" s="127">
        <v>244480</v>
      </c>
      <c r="C11" s="309">
        <v>244480</v>
      </c>
    </row>
    <row r="12" spans="1:3" ht="18" customHeight="1">
      <c r="A12" s="68" t="s">
        <v>247</v>
      </c>
      <c r="B12" s="128">
        <v>220284</v>
      </c>
      <c r="C12" s="310">
        <v>220284</v>
      </c>
    </row>
    <row r="13" spans="1:3" ht="18" customHeight="1">
      <c r="A13" s="89" t="s">
        <v>248</v>
      </c>
      <c r="B13" s="129">
        <v>190000</v>
      </c>
      <c r="C13" s="311">
        <v>190000</v>
      </c>
    </row>
    <row r="14" spans="1:3" ht="18" customHeight="1">
      <c r="A14" s="107" t="s">
        <v>350</v>
      </c>
      <c r="B14" s="130"/>
      <c r="C14" s="312"/>
    </row>
    <row r="15" spans="1:3" ht="18" customHeight="1">
      <c r="A15" s="51" t="s">
        <v>352</v>
      </c>
      <c r="B15" s="127"/>
      <c r="C15" s="309"/>
    </row>
    <row r="16" spans="1:3" s="73" customFormat="1" ht="18" customHeight="1" thickBot="1">
      <c r="A16" s="290" t="s">
        <v>9</v>
      </c>
      <c r="B16" s="291">
        <f>SUM(B11:B13)</f>
        <v>654764</v>
      </c>
      <c r="C16" s="313">
        <f>SUM(C11:C15)</f>
        <v>654764</v>
      </c>
    </row>
    <row r="17" spans="1:3" s="73" customFormat="1" ht="21" customHeight="1" thickBot="1">
      <c r="A17" s="60" t="s">
        <v>140</v>
      </c>
      <c r="B17" s="106">
        <f>SUM(B16+B10)</f>
        <v>1914275</v>
      </c>
      <c r="C17" s="314">
        <f>SUM(C16+C10)</f>
        <v>1924344</v>
      </c>
    </row>
    <row r="18" ht="13.5" thickTop="1"/>
  </sheetData>
  <sheetProtection/>
  <mergeCells count="2">
    <mergeCell ref="A1:A2"/>
    <mergeCell ref="B1:C1"/>
  </mergeCells>
  <printOptions horizontalCentered="1"/>
  <pageMargins left="0.17" right="0.29" top="1.75" bottom="0.45" header="0.71" footer="0.28"/>
  <pageSetup fitToHeight="1" fitToWidth="1" horizontalDpi="300" verticalDpi="300" orientation="portrait" paperSize="9" r:id="rId1"/>
  <headerFooter alignWithMargins="0">
    <oddHeader>&amp;C&amp;"Times New Roman CE,Félkövér"&amp;16Helyi adóbevételek és átengedett központi adók&amp;"Times New Roman CE,Normál"&amp;10
/ ezer Ft /&amp;R&amp;"MS Sans Serif,Félkövér"&amp;12 2.sz.melléklet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1">
      <selection activeCell="C24" sqref="C24"/>
    </sheetView>
  </sheetViews>
  <sheetFormatPr defaultColWidth="9.140625" defaultRowHeight="12.75"/>
  <cols>
    <col min="1" max="1" width="38.00390625" style="0" customWidth="1"/>
    <col min="2" max="2" width="12.7109375" style="0" customWidth="1"/>
    <col min="3" max="3" width="12.7109375" style="131" customWidth="1"/>
  </cols>
  <sheetData>
    <row r="1" spans="1:3" ht="16.5" thickTop="1">
      <c r="A1" s="452" t="s">
        <v>144</v>
      </c>
      <c r="B1" s="458" t="s">
        <v>232</v>
      </c>
      <c r="C1" s="459"/>
    </row>
    <row r="2" spans="1:3" ht="16.5" thickBot="1">
      <c r="A2" s="455"/>
      <c r="B2" s="225" t="s">
        <v>340</v>
      </c>
      <c r="C2" s="316" t="s">
        <v>341</v>
      </c>
    </row>
    <row r="3" spans="1:3" s="131" customFormat="1" ht="18" customHeight="1">
      <c r="A3" s="195" t="s">
        <v>307</v>
      </c>
      <c r="B3" s="230"/>
      <c r="C3" s="317"/>
    </row>
    <row r="4" spans="1:3" ht="18" customHeight="1">
      <c r="A4" s="38"/>
      <c r="B4" s="229"/>
      <c r="C4" s="318"/>
    </row>
    <row r="5" spans="1:3" s="131" customFormat="1" ht="18" customHeight="1">
      <c r="A5" s="15" t="s">
        <v>157</v>
      </c>
      <c r="B5" s="231">
        <v>29900</v>
      </c>
      <c r="C5" s="318">
        <v>30783</v>
      </c>
    </row>
    <row r="6" spans="1:3" ht="18" customHeight="1">
      <c r="A6" s="15" t="s">
        <v>158</v>
      </c>
      <c r="B6" s="229">
        <v>1300</v>
      </c>
      <c r="C6" s="318">
        <v>1300</v>
      </c>
    </row>
    <row r="7" spans="1:3" ht="18" customHeight="1">
      <c r="A7" s="38" t="s">
        <v>345</v>
      </c>
      <c r="B7" s="229">
        <v>35000</v>
      </c>
      <c r="C7" s="318">
        <v>35000</v>
      </c>
    </row>
    <row r="8" spans="1:3" ht="18" customHeight="1">
      <c r="A8" s="38" t="s">
        <v>52</v>
      </c>
      <c r="B8" s="229">
        <v>1800</v>
      </c>
      <c r="C8" s="324">
        <f>1800+319</f>
        <v>2119</v>
      </c>
    </row>
    <row r="9" spans="1:3" ht="18" customHeight="1">
      <c r="A9" s="38" t="s">
        <v>63</v>
      </c>
      <c r="B9" s="229"/>
      <c r="C9" s="318">
        <v>292</v>
      </c>
    </row>
    <row r="10" spans="1:3" ht="18" customHeight="1">
      <c r="A10" s="38" t="s">
        <v>351</v>
      </c>
      <c r="B10" s="229"/>
      <c r="C10" s="318"/>
    </row>
    <row r="11" spans="1:3" ht="18" customHeight="1">
      <c r="A11" s="38" t="s">
        <v>389</v>
      </c>
      <c r="B11" s="229"/>
      <c r="C11" s="318"/>
    </row>
    <row r="12" spans="1:3" ht="18" customHeight="1">
      <c r="A12" s="38" t="s">
        <v>353</v>
      </c>
      <c r="B12" s="229"/>
      <c r="C12" s="325">
        <f>569+781</f>
        <v>1350</v>
      </c>
    </row>
    <row r="13" spans="1:3" ht="18" customHeight="1">
      <c r="A13" s="38" t="s">
        <v>45</v>
      </c>
      <c r="B13" s="229"/>
      <c r="C13" s="318">
        <v>1500</v>
      </c>
    </row>
    <row r="14" spans="1:3" ht="18" customHeight="1">
      <c r="A14" s="38" t="s">
        <v>384</v>
      </c>
      <c r="B14" s="229"/>
      <c r="C14" s="318">
        <v>762</v>
      </c>
    </row>
    <row r="15" spans="1:3" ht="18" customHeight="1">
      <c r="A15" s="38" t="s">
        <v>390</v>
      </c>
      <c r="B15" s="229"/>
      <c r="C15" s="318"/>
    </row>
    <row r="16" spans="1:3" ht="18" customHeight="1">
      <c r="A16" s="195" t="s">
        <v>308</v>
      </c>
      <c r="B16" s="232">
        <f>SUM(B4:B14)</f>
        <v>68000</v>
      </c>
      <c r="C16" s="319">
        <f>SUM(C4:C15)</f>
        <v>73106</v>
      </c>
    </row>
    <row r="17" spans="1:3" ht="18" customHeight="1">
      <c r="A17" s="195"/>
      <c r="B17" s="229"/>
      <c r="C17" s="320"/>
    </row>
    <row r="18" spans="1:3" ht="18" customHeight="1">
      <c r="A18" s="195" t="s">
        <v>309</v>
      </c>
      <c r="B18" s="229"/>
      <c r="C18" s="318"/>
    </row>
    <row r="19" spans="1:3" s="131" customFormat="1" ht="18" customHeight="1">
      <c r="A19" s="15" t="s">
        <v>224</v>
      </c>
      <c r="B19" s="229">
        <v>1500</v>
      </c>
      <c r="C19" s="326">
        <f>1500+100</f>
        <v>1600</v>
      </c>
    </row>
    <row r="20" spans="1:3" s="131" customFormat="1" ht="18" customHeight="1">
      <c r="A20" s="15" t="s">
        <v>153</v>
      </c>
      <c r="B20" s="229">
        <v>3400</v>
      </c>
      <c r="C20" s="318">
        <v>3400</v>
      </c>
    </row>
    <row r="21" spans="1:3" s="131" customFormat="1" ht="18" customHeight="1">
      <c r="A21" s="38" t="s">
        <v>75</v>
      </c>
      <c r="B21" s="229">
        <v>300</v>
      </c>
      <c r="C21" s="318">
        <f>300+1800</f>
        <v>2100</v>
      </c>
    </row>
    <row r="22" spans="1:3" s="131" customFormat="1" ht="18" customHeight="1">
      <c r="A22" s="15" t="s">
        <v>155</v>
      </c>
      <c r="B22" s="229">
        <v>900</v>
      </c>
      <c r="C22" s="318">
        <f>900+800</f>
        <v>1700</v>
      </c>
    </row>
    <row r="23" spans="1:3" s="131" customFormat="1" ht="18" customHeight="1">
      <c r="A23" s="38" t="s">
        <v>292</v>
      </c>
      <c r="B23" s="231">
        <v>230</v>
      </c>
      <c r="C23" s="318">
        <v>12390</v>
      </c>
    </row>
    <row r="24" spans="1:3" s="131" customFormat="1" ht="18" customHeight="1">
      <c r="A24" s="38" t="s">
        <v>226</v>
      </c>
      <c r="B24" s="229">
        <v>7000</v>
      </c>
      <c r="C24" s="318">
        <v>7000</v>
      </c>
    </row>
    <row r="25" spans="1:3" s="131" customFormat="1" ht="18" customHeight="1">
      <c r="A25" s="195" t="s">
        <v>310</v>
      </c>
      <c r="B25" s="233">
        <f>SUM(B19:B24)</f>
        <v>13330</v>
      </c>
      <c r="C25" s="321">
        <f>SUM(C19:C24)</f>
        <v>28190</v>
      </c>
    </row>
    <row r="26" spans="1:3" s="131" customFormat="1" ht="18" customHeight="1">
      <c r="A26" s="195" t="s">
        <v>311</v>
      </c>
      <c r="B26" s="232">
        <f>B16+B25</f>
        <v>81330</v>
      </c>
      <c r="C26" s="321">
        <f>C16+C25</f>
        <v>101296</v>
      </c>
    </row>
    <row r="27" spans="1:3" ht="18" customHeight="1" thickBot="1">
      <c r="A27" s="195"/>
      <c r="B27" s="234"/>
      <c r="C27" s="322"/>
    </row>
    <row r="28" spans="1:3" s="73" customFormat="1" ht="21" customHeight="1" thickBot="1">
      <c r="A28" s="60" t="s">
        <v>140</v>
      </c>
      <c r="B28" s="226">
        <f>B16+B25</f>
        <v>81330</v>
      </c>
      <c r="C28" s="323">
        <f>C16+C25</f>
        <v>101296</v>
      </c>
    </row>
    <row r="29" ht="13.5" thickTop="1"/>
  </sheetData>
  <sheetProtection/>
  <mergeCells count="2">
    <mergeCell ref="A1:A2"/>
    <mergeCell ref="B1:C1"/>
  </mergeCells>
  <printOptions horizontalCentered="1"/>
  <pageMargins left="0.48" right="0.31496062992125984" top="1.7716535433070868" bottom="2.75" header="0.7086614173228347" footer="1.78"/>
  <pageSetup fitToHeight="1" fitToWidth="1" horizontalDpi="120" verticalDpi="120" orientation="portrait" paperSize="9" r:id="rId1"/>
  <headerFooter alignWithMargins="0">
    <oddHeader>&amp;C&amp;"Times New Roman CE,Félkövér"&amp;16Egyéb bevételek&amp;"Times New Roman CE,Normál"&amp;18
&amp;11/ ezer Ft /&amp;R&amp;"MS Sans Serif,Félkövér"&amp;12 3.sz.melléklet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3.7109375" style="0" customWidth="1"/>
    <col min="2" max="2" width="12.7109375" style="0" customWidth="1"/>
    <col min="3" max="3" width="12.7109375" style="125" customWidth="1"/>
  </cols>
  <sheetData>
    <row r="1" spans="1:3" ht="16.5" thickTop="1">
      <c r="A1" s="452" t="s">
        <v>144</v>
      </c>
      <c r="B1" s="460" t="s">
        <v>232</v>
      </c>
      <c r="C1" s="461"/>
    </row>
    <row r="2" spans="1:3" ht="16.5" thickBot="1">
      <c r="A2" s="455"/>
      <c r="B2" s="222" t="s">
        <v>340</v>
      </c>
      <c r="C2" s="327" t="s">
        <v>341</v>
      </c>
    </row>
    <row r="3" spans="1:3" ht="18" customHeight="1">
      <c r="A3" s="38" t="s">
        <v>306</v>
      </c>
      <c r="B3" s="224">
        <v>8179</v>
      </c>
      <c r="C3" s="328">
        <v>8179</v>
      </c>
    </row>
    <row r="4" spans="1:3" ht="18" customHeight="1">
      <c r="A4" s="38" t="s">
        <v>159</v>
      </c>
      <c r="B4" s="221">
        <f>21000+25518</f>
        <v>46518</v>
      </c>
      <c r="C4" s="329">
        <f>21000+25518+35608</f>
        <v>82126</v>
      </c>
    </row>
    <row r="5" spans="1:3" ht="18" customHeight="1">
      <c r="A5" s="38" t="s">
        <v>375</v>
      </c>
      <c r="B5" s="221"/>
      <c r="C5" s="329">
        <f>95+73+18</f>
        <v>186</v>
      </c>
    </row>
    <row r="6" spans="1:3" ht="18" customHeight="1">
      <c r="A6" s="38" t="s">
        <v>231</v>
      </c>
      <c r="B6" s="221"/>
      <c r="C6" s="334">
        <v>900</v>
      </c>
    </row>
    <row r="7" spans="1:3" ht="18" customHeight="1">
      <c r="A7" s="102" t="s">
        <v>250</v>
      </c>
      <c r="B7" s="221">
        <v>5000</v>
      </c>
      <c r="C7" s="329">
        <v>5000</v>
      </c>
    </row>
    <row r="8" spans="1:3" ht="18" customHeight="1">
      <c r="A8" s="38" t="s">
        <v>101</v>
      </c>
      <c r="B8" s="221"/>
      <c r="C8" s="329">
        <v>798</v>
      </c>
    </row>
    <row r="9" spans="1:3" ht="18" customHeight="1">
      <c r="A9" s="38" t="s">
        <v>385</v>
      </c>
      <c r="B9" s="221"/>
      <c r="C9" s="334">
        <f>379+6411+6217+245-56</f>
        <v>13196</v>
      </c>
    </row>
    <row r="10" spans="1:3" ht="18" customHeight="1">
      <c r="A10" s="38" t="s">
        <v>274</v>
      </c>
      <c r="B10" s="221">
        <v>7</v>
      </c>
      <c r="C10" s="329">
        <v>7</v>
      </c>
    </row>
    <row r="11" spans="1:3" ht="18" customHeight="1">
      <c r="A11" s="38" t="s">
        <v>288</v>
      </c>
      <c r="B11" s="221">
        <v>40537</v>
      </c>
      <c r="C11" s="329">
        <v>40537</v>
      </c>
    </row>
    <row r="12" spans="1:3" ht="18" customHeight="1">
      <c r="A12" s="38" t="s">
        <v>355</v>
      </c>
      <c r="B12" s="221"/>
      <c r="C12" s="329">
        <v>429</v>
      </c>
    </row>
    <row r="13" spans="1:3" ht="18" customHeight="1">
      <c r="A13" s="102" t="s">
        <v>379</v>
      </c>
      <c r="B13" s="221"/>
      <c r="C13" s="329">
        <v>925</v>
      </c>
    </row>
    <row r="14" spans="1:3" s="73" customFormat="1" ht="18" customHeight="1">
      <c r="A14" s="195" t="s">
        <v>43</v>
      </c>
      <c r="B14" s="330">
        <f>SUM(B3:B12)</f>
        <v>100241</v>
      </c>
      <c r="C14" s="331">
        <f>SUM(C3:C13)</f>
        <v>152283</v>
      </c>
    </row>
    <row r="15" spans="1:3" ht="18" customHeight="1">
      <c r="A15" s="38"/>
      <c r="B15" s="335"/>
      <c r="C15" s="329"/>
    </row>
    <row r="16" spans="1:3" ht="18" customHeight="1">
      <c r="A16" s="38" t="s">
        <v>104</v>
      </c>
      <c r="B16" s="221"/>
      <c r="C16" s="329"/>
    </row>
    <row r="17" spans="1:3" ht="18" customHeight="1">
      <c r="A17" s="38" t="s">
        <v>106</v>
      </c>
      <c r="B17" s="221">
        <v>497470</v>
      </c>
      <c r="C17" s="329">
        <f>497470-18509</f>
        <v>478961</v>
      </c>
    </row>
    <row r="18" spans="1:3" ht="18" customHeight="1">
      <c r="A18" s="38" t="s">
        <v>84</v>
      </c>
      <c r="B18" s="221">
        <v>57688</v>
      </c>
      <c r="C18" s="329">
        <v>57688</v>
      </c>
    </row>
    <row r="19" spans="1:3" s="101" customFormat="1" ht="18" customHeight="1">
      <c r="A19" s="161" t="s">
        <v>249</v>
      </c>
      <c r="B19" s="221">
        <v>60109</v>
      </c>
      <c r="C19" s="329">
        <v>60109</v>
      </c>
    </row>
    <row r="20" spans="1:3" ht="18" customHeight="1">
      <c r="A20" s="102" t="s">
        <v>102</v>
      </c>
      <c r="B20" s="221">
        <v>31227</v>
      </c>
      <c r="C20" s="329">
        <v>31227</v>
      </c>
    </row>
    <row r="21" spans="1:3" ht="29.25" customHeight="1">
      <c r="A21" s="185" t="s">
        <v>295</v>
      </c>
      <c r="B21" s="221">
        <v>995783</v>
      </c>
      <c r="C21" s="329">
        <v>995783</v>
      </c>
    </row>
    <row r="22" spans="1:3" ht="18" customHeight="1">
      <c r="A22" s="102"/>
      <c r="B22" s="221"/>
      <c r="C22" s="329"/>
    </row>
    <row r="23" spans="1:3" s="73" customFormat="1" ht="18" customHeight="1" thickBot="1">
      <c r="A23" s="195" t="s">
        <v>44</v>
      </c>
      <c r="B23" s="336">
        <f>SUM(B16:B22)</f>
        <v>1642277</v>
      </c>
      <c r="C23" s="332">
        <f>SUM(C16:C22)</f>
        <v>1623768</v>
      </c>
    </row>
    <row r="24" spans="1:3" s="73" customFormat="1" ht="21" customHeight="1" thickBot="1">
      <c r="A24" s="60" t="s">
        <v>140</v>
      </c>
      <c r="B24" s="223">
        <f>B23+B14</f>
        <v>1742518</v>
      </c>
      <c r="C24" s="333">
        <f>C23+C14</f>
        <v>1776051</v>
      </c>
    </row>
    <row r="25" ht="13.5" thickTop="1"/>
  </sheetData>
  <sheetProtection/>
  <mergeCells count="2">
    <mergeCell ref="A1:A2"/>
    <mergeCell ref="B1:C1"/>
  </mergeCells>
  <printOptions/>
  <pageMargins left="0.4" right="0.36" top="1.3" bottom="1.19" header="0.68" footer="0.64"/>
  <pageSetup fitToHeight="1" fitToWidth="1" horizontalDpi="600" verticalDpi="600" orientation="portrait" paperSize="9" r:id="rId1"/>
  <headerFooter alignWithMargins="0">
    <oddHeader>&amp;C&amp;"Times New Roman CE,Félkövér"&amp;16Átvett pénzeszközök&amp;"Times New Roman CE,Normál"&amp;10
/ezer Ft-ban/&amp;R&amp;"MS Sans Serif,Félkövér"&amp;12 4.sz.melléklet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pane xSplit="1" ySplit="2" topLeftCell="B3" activePane="bottomRight" state="frozen"/>
      <selection pane="topLeft" activeCell="N26" sqref="N26"/>
      <selection pane="topRight" activeCell="N26" sqref="N26"/>
      <selection pane="bottomLeft" activeCell="N26" sqref="N26"/>
      <selection pane="bottomRight" activeCell="E9" sqref="E9"/>
    </sheetView>
  </sheetViews>
  <sheetFormatPr defaultColWidth="9.140625" defaultRowHeight="12.75"/>
  <cols>
    <col min="1" max="1" width="38.7109375" style="0" customWidth="1"/>
    <col min="2" max="2" width="12.7109375" style="0" customWidth="1"/>
    <col min="3" max="3" width="12.7109375" style="131" customWidth="1"/>
  </cols>
  <sheetData>
    <row r="1" spans="1:3" ht="19.5" thickTop="1">
      <c r="A1" s="452" t="s">
        <v>144</v>
      </c>
      <c r="B1" s="462" t="s">
        <v>30</v>
      </c>
      <c r="C1" s="459"/>
    </row>
    <row r="2" spans="1:3" ht="16.5" thickBot="1">
      <c r="A2" s="455"/>
      <c r="B2" s="225" t="s">
        <v>340</v>
      </c>
      <c r="C2" s="337" t="s">
        <v>341</v>
      </c>
    </row>
    <row r="3" spans="1:3" ht="18" customHeight="1">
      <c r="A3" s="38" t="s">
        <v>215</v>
      </c>
      <c r="B3" s="341"/>
      <c r="C3" s="342">
        <f>3325+1391+830</f>
        <v>5546</v>
      </c>
    </row>
    <row r="4" spans="1:3" ht="18" customHeight="1">
      <c r="A4" s="38" t="s">
        <v>18</v>
      </c>
      <c r="B4" s="343"/>
      <c r="C4" s="338">
        <f>15413+3969+4160</f>
        <v>23542</v>
      </c>
    </row>
    <row r="5" spans="1:3" ht="18" customHeight="1">
      <c r="A5" s="38" t="s">
        <v>213</v>
      </c>
      <c r="B5" s="343"/>
      <c r="C5" s="338">
        <f>15524+6330+4172</f>
        <v>26026</v>
      </c>
    </row>
    <row r="6" spans="1:3" ht="18" customHeight="1">
      <c r="A6" s="38" t="s">
        <v>251</v>
      </c>
      <c r="B6" s="343"/>
      <c r="C6" s="338">
        <f>410+420</f>
        <v>830</v>
      </c>
    </row>
    <row r="7" spans="1:3" ht="18" customHeight="1">
      <c r="A7" s="38" t="s">
        <v>19</v>
      </c>
      <c r="B7" s="343"/>
      <c r="C7" s="338">
        <f>30989+15417+9259</f>
        <v>55665</v>
      </c>
    </row>
    <row r="8" spans="1:3" ht="18" customHeight="1">
      <c r="A8" s="38" t="s">
        <v>354</v>
      </c>
      <c r="B8" s="343"/>
      <c r="C8" s="338">
        <f>73721+25759+17420</f>
        <v>116900</v>
      </c>
    </row>
    <row r="9" spans="1:3" ht="18" customHeight="1">
      <c r="A9" s="38" t="s">
        <v>20</v>
      </c>
      <c r="B9" s="343"/>
      <c r="C9" s="338">
        <v>3491</v>
      </c>
    </row>
    <row r="10" spans="1:3" ht="18" customHeight="1">
      <c r="A10" s="38" t="s">
        <v>22</v>
      </c>
      <c r="B10" s="343"/>
      <c r="C10" s="338">
        <v>47</v>
      </c>
    </row>
    <row r="11" spans="1:3" ht="18" customHeight="1">
      <c r="A11" s="38" t="s">
        <v>23</v>
      </c>
      <c r="B11" s="343"/>
      <c r="C11" s="338">
        <v>997</v>
      </c>
    </row>
    <row r="12" spans="1:3" ht="18" customHeight="1">
      <c r="A12" s="38" t="s">
        <v>86</v>
      </c>
      <c r="B12" s="343"/>
      <c r="C12" s="344">
        <f>6795-695+1165</f>
        <v>7265</v>
      </c>
    </row>
    <row r="13" spans="1:3" ht="18" customHeight="1">
      <c r="A13" s="38" t="s">
        <v>161</v>
      </c>
      <c r="B13" s="343"/>
      <c r="C13" s="338">
        <f>44333+22223+18517</f>
        <v>85073</v>
      </c>
    </row>
    <row r="14" spans="1:3" ht="18" customHeight="1">
      <c r="A14" s="38" t="s">
        <v>94</v>
      </c>
      <c r="B14" s="343"/>
      <c r="C14" s="338">
        <f>2629+643+643</f>
        <v>3915</v>
      </c>
    </row>
    <row r="15" spans="1:3" ht="18" customHeight="1">
      <c r="A15" s="38" t="s">
        <v>380</v>
      </c>
      <c r="B15" s="345"/>
      <c r="C15" s="339">
        <f>651+837</f>
        <v>1488</v>
      </c>
    </row>
    <row r="16" spans="1:3" ht="18" customHeight="1">
      <c r="A16" s="38"/>
      <c r="B16" s="345"/>
      <c r="C16" s="339"/>
    </row>
    <row r="17" spans="1:3" ht="18" customHeight="1" thickBot="1">
      <c r="A17" s="38"/>
      <c r="B17" s="346"/>
      <c r="C17" s="340"/>
    </row>
    <row r="18" spans="1:3" s="73" customFormat="1" ht="21" customHeight="1" thickBot="1">
      <c r="A18" s="60" t="s">
        <v>140</v>
      </c>
      <c r="B18" s="226">
        <f>SUM(B3:B17)</f>
        <v>0</v>
      </c>
      <c r="C18" s="323">
        <f>SUM(C3:C17)</f>
        <v>330785</v>
      </c>
    </row>
    <row r="19" ht="13.5" thickTop="1"/>
  </sheetData>
  <sheetProtection/>
  <mergeCells count="2">
    <mergeCell ref="A1:A2"/>
    <mergeCell ref="B1:C1"/>
  </mergeCells>
  <printOptions horizontalCentered="1"/>
  <pageMargins left="0.59" right="0.7874015748031497" top="2.19" bottom="2.48" header="0.96" footer="1.69"/>
  <pageSetup blackAndWhite="1" fitToHeight="1" fitToWidth="1" horizontalDpi="240" verticalDpi="240" orientation="portrait" paperSize="9" r:id="rId1"/>
  <headerFooter alignWithMargins="0">
    <oddHeader>&amp;C&amp;"Times New Roman CE,Normál"&amp;18Központosított támogatások
&amp;11/ ezer Ft /&amp;R&amp;"MS Sans Serif,Félkövér"&amp;12 5.sz.melléklet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1.7109375" style="0" customWidth="1"/>
    <col min="2" max="2" width="12.7109375" style="0" customWidth="1"/>
    <col min="3" max="3" width="12.7109375" style="131" customWidth="1"/>
  </cols>
  <sheetData>
    <row r="1" spans="1:3" ht="16.5" thickTop="1">
      <c r="A1" s="452" t="s">
        <v>144</v>
      </c>
      <c r="B1" s="463" t="s">
        <v>233</v>
      </c>
      <c r="C1" s="464"/>
    </row>
    <row r="2" spans="1:3" ht="16.5" thickBot="1">
      <c r="A2" s="455"/>
      <c r="B2" s="123" t="s">
        <v>340</v>
      </c>
      <c r="C2" s="61" t="s">
        <v>341</v>
      </c>
    </row>
    <row r="3" spans="1:3" s="186" customFormat="1" ht="18" customHeight="1">
      <c r="A3" s="48" t="s">
        <v>312</v>
      </c>
      <c r="B3" s="227"/>
      <c r="C3" s="368"/>
    </row>
    <row r="4" spans="1:3" s="131" customFormat="1" ht="18" customHeight="1">
      <c r="A4" s="38" t="s">
        <v>234</v>
      </c>
      <c r="B4" s="220">
        <v>6828</v>
      </c>
      <c r="C4" s="307">
        <v>6828</v>
      </c>
    </row>
    <row r="5" spans="1:3" s="131" customFormat="1" ht="18" customHeight="1">
      <c r="A5" s="38" t="s">
        <v>25</v>
      </c>
      <c r="B5" s="220">
        <v>389</v>
      </c>
      <c r="C5" s="307">
        <v>389</v>
      </c>
    </row>
    <row r="6" spans="1:3" s="131" customFormat="1" ht="18" customHeight="1">
      <c r="A6" s="38" t="s">
        <v>31</v>
      </c>
      <c r="B6" s="220">
        <v>34000</v>
      </c>
      <c r="C6" s="307">
        <f>34000+6000</f>
        <v>40000</v>
      </c>
    </row>
    <row r="7" spans="1:3" s="131" customFormat="1" ht="18" customHeight="1">
      <c r="A7" s="38" t="s">
        <v>85</v>
      </c>
      <c r="B7" s="220">
        <v>7000</v>
      </c>
      <c r="C7" s="307">
        <v>7000</v>
      </c>
    </row>
    <row r="8" spans="1:3" s="131" customFormat="1" ht="18" customHeight="1">
      <c r="A8" s="38" t="s">
        <v>372</v>
      </c>
      <c r="B8" s="220"/>
      <c r="C8" s="307">
        <f>2117+667</f>
        <v>2784</v>
      </c>
    </row>
    <row r="9" spans="1:3" s="131" customFormat="1" ht="18" customHeight="1">
      <c r="A9" s="38" t="s">
        <v>26</v>
      </c>
      <c r="B9" s="220"/>
      <c r="C9" s="307">
        <f>1219+41+48</f>
        <v>1308</v>
      </c>
    </row>
    <row r="10" spans="1:3" s="186" customFormat="1" ht="18" customHeight="1">
      <c r="A10" s="48" t="s">
        <v>313</v>
      </c>
      <c r="B10" s="227">
        <f>SUM(B4:B9)</f>
        <v>48217</v>
      </c>
      <c r="C10" s="368">
        <f>SUM(C4:C9)</f>
        <v>58309</v>
      </c>
    </row>
    <row r="11" spans="1:3" s="186" customFormat="1" ht="18" customHeight="1">
      <c r="A11" s="48" t="s">
        <v>314</v>
      </c>
      <c r="B11" s="227"/>
      <c r="C11" s="368"/>
    </row>
    <row r="12" spans="1:3" s="117" customFormat="1" ht="18" customHeight="1">
      <c r="A12" s="38" t="s">
        <v>24</v>
      </c>
      <c r="B12" s="220">
        <v>50800</v>
      </c>
      <c r="C12" s="307">
        <v>50800</v>
      </c>
    </row>
    <row r="13" spans="1:3" s="117" customFormat="1" ht="18" customHeight="1">
      <c r="A13" s="38" t="s">
        <v>27</v>
      </c>
      <c r="B13" s="220">
        <v>198000</v>
      </c>
      <c r="C13" s="307">
        <v>198000</v>
      </c>
    </row>
    <row r="14" spans="1:3" ht="18" customHeight="1">
      <c r="A14" s="38" t="s">
        <v>347</v>
      </c>
      <c r="B14" s="220"/>
      <c r="C14" s="307">
        <v>10830</v>
      </c>
    </row>
    <row r="15" spans="1:3" s="117" customFormat="1" ht="18" customHeight="1">
      <c r="A15" s="161" t="s">
        <v>281</v>
      </c>
      <c r="B15" s="220">
        <v>20000</v>
      </c>
      <c r="C15" s="307">
        <v>20000</v>
      </c>
    </row>
    <row r="16" spans="1:3" s="117" customFormat="1" ht="18" customHeight="1">
      <c r="A16" s="161" t="s">
        <v>279</v>
      </c>
      <c r="B16" s="220">
        <v>35500</v>
      </c>
      <c r="C16" s="307">
        <v>35500</v>
      </c>
    </row>
    <row r="17" spans="1:4" s="117" customFormat="1" ht="18" customHeight="1">
      <c r="A17" s="161" t="s">
        <v>280</v>
      </c>
      <c r="B17" s="220">
        <v>30000</v>
      </c>
      <c r="C17" s="307">
        <v>30000</v>
      </c>
      <c r="D17" s="183"/>
    </row>
    <row r="18" spans="1:3" s="117" customFormat="1" ht="18" customHeight="1">
      <c r="A18" s="161" t="s">
        <v>330</v>
      </c>
      <c r="B18" s="220">
        <v>4000</v>
      </c>
      <c r="C18" s="307">
        <v>4000</v>
      </c>
    </row>
    <row r="19" spans="1:3" s="117" customFormat="1" ht="18" customHeight="1">
      <c r="A19" s="161"/>
      <c r="B19" s="220"/>
      <c r="C19" s="307"/>
    </row>
    <row r="20" spans="1:3" s="73" customFormat="1" ht="18" customHeight="1">
      <c r="A20" s="48" t="s">
        <v>315</v>
      </c>
      <c r="B20" s="227">
        <f>SUM(B12:B19)</f>
        <v>338300</v>
      </c>
      <c r="C20" s="368">
        <f>SUM(C12:C19)</f>
        <v>349130</v>
      </c>
    </row>
    <row r="21" spans="1:3" ht="18" customHeight="1">
      <c r="A21" s="48" t="s">
        <v>227</v>
      </c>
      <c r="B21" s="372"/>
      <c r="C21" s="369"/>
    </row>
    <row r="22" spans="1:3" ht="18" customHeight="1">
      <c r="A22" s="38" t="s">
        <v>229</v>
      </c>
      <c r="B22" s="372">
        <v>1500</v>
      </c>
      <c r="C22" s="369">
        <v>1500</v>
      </c>
    </row>
    <row r="23" spans="1:3" s="73" customFormat="1" ht="21" customHeight="1" thickBot="1">
      <c r="A23" s="48" t="s">
        <v>316</v>
      </c>
      <c r="B23" s="373">
        <f>SUM(B22:B22)</f>
        <v>1500</v>
      </c>
      <c r="C23" s="370">
        <f>SUM(C22:C22)</f>
        <v>1500</v>
      </c>
    </row>
    <row r="24" spans="1:3" s="73" customFormat="1" ht="23.25" customHeight="1" thickBot="1">
      <c r="A24" s="196" t="s">
        <v>317</v>
      </c>
      <c r="B24" s="228">
        <f>B10+B20+B22</f>
        <v>388017</v>
      </c>
      <c r="C24" s="371">
        <f>C10+C20+C22</f>
        <v>408939</v>
      </c>
    </row>
    <row r="25" ht="13.5" thickTop="1"/>
  </sheetData>
  <sheetProtection/>
  <mergeCells count="2">
    <mergeCell ref="A1:A2"/>
    <mergeCell ref="B1:C1"/>
  </mergeCells>
  <printOptions horizontalCentered="1"/>
  <pageMargins left="0.9448818897637796" right="0.984251968503937" top="2.03" bottom="1.8" header="0.87" footer="1.04"/>
  <pageSetup blackAndWhite="1" fitToHeight="1" fitToWidth="1" horizontalDpi="120" verticalDpi="120" orientation="portrait" paperSize="9" r:id="rId1"/>
  <headerFooter alignWithMargins="0">
    <oddHeader>&amp;C&amp;"Times New Roman CE,Félkövér"&amp;16Vagyonhasznosítási bevételek&amp;"Times New Roman CE,Normál"&amp;18
&amp;11/ ezer Ft /&amp;R&amp;"MS Sans Serif,Félkövér"&amp;12 7.sz.melléklet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0" zoomScaleNormal="80" zoomScalePageLayoutView="0" workbookViewId="0" topLeftCell="A1">
      <pane xSplit="1" ySplit="2" topLeftCell="C3" activePane="bottomRight" state="frozen"/>
      <selection pane="topLeft" activeCell="N26" sqref="N26"/>
      <selection pane="topRight" activeCell="N26" sqref="N26"/>
      <selection pane="bottomLeft" activeCell="N26" sqref="N26"/>
      <selection pane="bottomRight" activeCell="P16" sqref="P16"/>
    </sheetView>
  </sheetViews>
  <sheetFormatPr defaultColWidth="9.140625" defaultRowHeight="12.75"/>
  <cols>
    <col min="1" max="1" width="20.421875" style="131" customWidth="1"/>
    <col min="2" max="2" width="9.8515625" style="131" bestFit="1" customWidth="1"/>
    <col min="3" max="3" width="8.57421875" style="131" customWidth="1"/>
    <col min="4" max="4" width="8.7109375" style="131" customWidth="1"/>
    <col min="5" max="5" width="8.421875" style="131" customWidth="1"/>
    <col min="6" max="6" width="7.28125" style="131" bestFit="1" customWidth="1"/>
    <col min="7" max="7" width="8.00390625" style="131" customWidth="1"/>
    <col min="8" max="8" width="8.140625" style="131" bestFit="1" customWidth="1"/>
    <col min="9" max="10" width="9.8515625" style="131" bestFit="1" customWidth="1"/>
    <col min="11" max="11" width="8.7109375" style="131" customWidth="1"/>
    <col min="12" max="12" width="9.8515625" style="131" bestFit="1" customWidth="1"/>
    <col min="13" max="13" width="7.57421875" style="131" bestFit="1" customWidth="1"/>
    <col min="14" max="14" width="8.421875" style="131" customWidth="1"/>
    <col min="15" max="15" width="8.00390625" style="131" customWidth="1"/>
    <col min="16" max="16" width="8.140625" style="131" bestFit="1" customWidth="1"/>
    <col min="17" max="17" width="10.140625" style="131" customWidth="1"/>
  </cols>
  <sheetData>
    <row r="1" spans="1:17" ht="19.5" thickTop="1">
      <c r="A1" s="22"/>
      <c r="B1" s="465" t="s">
        <v>338</v>
      </c>
      <c r="C1" s="466"/>
      <c r="D1" s="466"/>
      <c r="E1" s="466"/>
      <c r="F1" s="466"/>
      <c r="G1" s="466"/>
      <c r="H1" s="466"/>
      <c r="I1" s="467"/>
      <c r="J1" s="468" t="s">
        <v>342</v>
      </c>
      <c r="K1" s="466"/>
      <c r="L1" s="466"/>
      <c r="M1" s="466"/>
      <c r="N1" s="466"/>
      <c r="O1" s="466"/>
      <c r="P1" s="466"/>
      <c r="Q1" s="469"/>
    </row>
    <row r="2" spans="1:17" ht="64.5" customHeight="1" thickBot="1">
      <c r="A2" s="14" t="s">
        <v>144</v>
      </c>
      <c r="B2" s="132" t="s">
        <v>162</v>
      </c>
      <c r="C2" s="132" t="s">
        <v>167</v>
      </c>
      <c r="D2" s="132" t="s">
        <v>168</v>
      </c>
      <c r="E2" s="132" t="s">
        <v>169</v>
      </c>
      <c r="F2" s="132" t="s">
        <v>170</v>
      </c>
      <c r="G2" s="132" t="s">
        <v>166</v>
      </c>
      <c r="H2" s="133" t="s">
        <v>171</v>
      </c>
      <c r="I2" s="267" t="s">
        <v>140</v>
      </c>
      <c r="J2" s="374" t="s">
        <v>162</v>
      </c>
      <c r="K2" s="132" t="s">
        <v>167</v>
      </c>
      <c r="L2" s="132" t="s">
        <v>168</v>
      </c>
      <c r="M2" s="132" t="s">
        <v>169</v>
      </c>
      <c r="N2" s="132" t="s">
        <v>170</v>
      </c>
      <c r="O2" s="132" t="s">
        <v>166</v>
      </c>
      <c r="P2" s="133" t="s">
        <v>171</v>
      </c>
      <c r="Q2" s="375" t="s">
        <v>140</v>
      </c>
    </row>
    <row r="3" spans="1:17" ht="39.75" customHeight="1">
      <c r="A3" s="40" t="s">
        <v>67</v>
      </c>
      <c r="B3" s="124">
        <f>182193+8085</f>
        <v>190278</v>
      </c>
      <c r="C3" s="124">
        <f>42534+2183</f>
        <v>44717</v>
      </c>
      <c r="D3" s="124">
        <f>65107+25344</f>
        <v>90451</v>
      </c>
      <c r="E3" s="124"/>
      <c r="F3" s="124"/>
      <c r="G3" s="124"/>
      <c r="H3" s="124"/>
      <c r="I3" s="54">
        <f>SUM(B3:H3)</f>
        <v>325446</v>
      </c>
      <c r="J3" s="376">
        <v>175892</v>
      </c>
      <c r="K3" s="124">
        <v>44989</v>
      </c>
      <c r="L3" s="124">
        <v>125089</v>
      </c>
      <c r="M3" s="124">
        <v>60</v>
      </c>
      <c r="N3" s="124"/>
      <c r="O3" s="124">
        <v>3051</v>
      </c>
      <c r="P3" s="124">
        <v>13666</v>
      </c>
      <c r="Q3" s="298">
        <f aca="true" t="shared" si="0" ref="Q3:Q15">SUM(J3:P3)</f>
        <v>362747</v>
      </c>
    </row>
    <row r="4" spans="1:17" ht="39.75" customHeight="1">
      <c r="A4" s="40" t="s">
        <v>203</v>
      </c>
      <c r="B4" s="124">
        <v>152733</v>
      </c>
      <c r="C4" s="124">
        <v>40879</v>
      </c>
      <c r="D4" s="134">
        <v>74593</v>
      </c>
      <c r="E4" s="134"/>
      <c r="F4" s="124"/>
      <c r="G4" s="124"/>
      <c r="H4" s="124"/>
      <c r="I4" s="54">
        <f>SUM(B4:H4)</f>
        <v>268205</v>
      </c>
      <c r="J4" s="376">
        <v>158533</v>
      </c>
      <c r="K4" s="124">
        <v>42454</v>
      </c>
      <c r="L4" s="134">
        <v>80201</v>
      </c>
      <c r="M4" s="134">
        <v>3999</v>
      </c>
      <c r="N4" s="124"/>
      <c r="O4" s="124">
        <v>621</v>
      </c>
      <c r="P4" s="124"/>
      <c r="Q4" s="298">
        <f t="shared" si="0"/>
        <v>285808</v>
      </c>
    </row>
    <row r="5" spans="1:17" ht="39.75" customHeight="1">
      <c r="A5" s="40" t="s">
        <v>202</v>
      </c>
      <c r="B5" s="124">
        <v>137018</v>
      </c>
      <c r="C5" s="124">
        <v>35904</v>
      </c>
      <c r="D5" s="124">
        <v>74175</v>
      </c>
      <c r="E5" s="134"/>
      <c r="F5" s="124"/>
      <c r="G5" s="64"/>
      <c r="H5" s="124"/>
      <c r="I5" s="54">
        <f aca="true" t="shared" si="1" ref="I5:I15">SUM(B5:H5)</f>
        <v>247097</v>
      </c>
      <c r="J5" s="376">
        <v>134346</v>
      </c>
      <c r="K5" s="124">
        <v>35182</v>
      </c>
      <c r="L5" s="124">
        <v>93811</v>
      </c>
      <c r="M5" s="134">
        <v>2090</v>
      </c>
      <c r="N5" s="124"/>
      <c r="O5" s="64">
        <v>4516</v>
      </c>
      <c r="P5" s="124">
        <v>1406</v>
      </c>
      <c r="Q5" s="298">
        <f t="shared" si="0"/>
        <v>271351</v>
      </c>
    </row>
    <row r="6" spans="1:17" ht="39.75" customHeight="1">
      <c r="A6" s="40" t="s">
        <v>190</v>
      </c>
      <c r="B6" s="124">
        <v>134298</v>
      </c>
      <c r="C6" s="124">
        <v>35369</v>
      </c>
      <c r="D6" s="124">
        <v>69467</v>
      </c>
      <c r="E6" s="134"/>
      <c r="F6" s="124"/>
      <c r="G6" s="124"/>
      <c r="H6" s="124"/>
      <c r="I6" s="54">
        <f t="shared" si="1"/>
        <v>239134</v>
      </c>
      <c r="J6" s="376">
        <v>142322</v>
      </c>
      <c r="K6" s="124">
        <v>37533</v>
      </c>
      <c r="L6" s="124">
        <v>75049</v>
      </c>
      <c r="M6" s="134">
        <v>1415</v>
      </c>
      <c r="N6" s="124"/>
      <c r="O6" s="124">
        <v>1710</v>
      </c>
      <c r="P6" s="124"/>
      <c r="Q6" s="298">
        <f t="shared" si="0"/>
        <v>258029</v>
      </c>
    </row>
    <row r="7" spans="1:17" ht="39.75" customHeight="1">
      <c r="A7" s="40" t="s">
        <v>148</v>
      </c>
      <c r="B7" s="124">
        <v>121067</v>
      </c>
      <c r="C7" s="124">
        <v>32559</v>
      </c>
      <c r="D7" s="124">
        <v>49805</v>
      </c>
      <c r="E7" s="134"/>
      <c r="F7" s="124"/>
      <c r="G7" s="124"/>
      <c r="H7" s="124"/>
      <c r="I7" s="54">
        <f t="shared" si="1"/>
        <v>203431</v>
      </c>
      <c r="J7" s="376">
        <v>125959</v>
      </c>
      <c r="K7" s="124">
        <v>33757</v>
      </c>
      <c r="L7" s="124">
        <v>51898</v>
      </c>
      <c r="M7" s="134">
        <v>2465</v>
      </c>
      <c r="N7" s="124"/>
      <c r="O7" s="124"/>
      <c r="P7" s="124"/>
      <c r="Q7" s="298">
        <f t="shared" si="0"/>
        <v>214079</v>
      </c>
    </row>
    <row r="8" spans="1:17" ht="39.75" customHeight="1">
      <c r="A8" s="40" t="s">
        <v>188</v>
      </c>
      <c r="B8" s="124">
        <v>151255</v>
      </c>
      <c r="C8" s="124">
        <v>39248</v>
      </c>
      <c r="D8" s="124">
        <v>83740</v>
      </c>
      <c r="E8" s="134"/>
      <c r="F8" s="124">
        <v>692</v>
      </c>
      <c r="G8" s="124"/>
      <c r="H8" s="124"/>
      <c r="I8" s="54">
        <f t="shared" si="1"/>
        <v>274935</v>
      </c>
      <c r="J8" s="376">
        <v>157068</v>
      </c>
      <c r="K8" s="124">
        <v>40726</v>
      </c>
      <c r="L8" s="124">
        <v>104085</v>
      </c>
      <c r="M8" s="134">
        <v>3644</v>
      </c>
      <c r="N8" s="124">
        <v>2787</v>
      </c>
      <c r="O8" s="124">
        <v>20695</v>
      </c>
      <c r="P8" s="124">
        <v>2956</v>
      </c>
      <c r="Q8" s="298">
        <f t="shared" si="0"/>
        <v>331961</v>
      </c>
    </row>
    <row r="9" spans="1:17" ht="39.75" customHeight="1">
      <c r="A9" s="40" t="s">
        <v>198</v>
      </c>
      <c r="B9" s="124">
        <v>152988</v>
      </c>
      <c r="C9" s="124">
        <v>40727</v>
      </c>
      <c r="D9" s="124">
        <v>38197</v>
      </c>
      <c r="E9" s="134"/>
      <c r="F9" s="124"/>
      <c r="G9" s="124"/>
      <c r="H9" s="124"/>
      <c r="I9" s="54">
        <f t="shared" si="1"/>
        <v>231912</v>
      </c>
      <c r="J9" s="376">
        <v>157440</v>
      </c>
      <c r="K9" s="124">
        <v>41927</v>
      </c>
      <c r="L9" s="124">
        <f>51206+2001</f>
        <v>53207</v>
      </c>
      <c r="M9" s="134">
        <v>1544</v>
      </c>
      <c r="N9" s="124"/>
      <c r="O9" s="124">
        <v>809</v>
      </c>
      <c r="P9" s="124">
        <v>952</v>
      </c>
      <c r="Q9" s="298">
        <f t="shared" si="0"/>
        <v>255879</v>
      </c>
    </row>
    <row r="10" spans="1:17" ht="39.75" customHeight="1">
      <c r="A10" s="40" t="s">
        <v>201</v>
      </c>
      <c r="B10" s="124">
        <v>94965</v>
      </c>
      <c r="C10" s="124">
        <v>24944</v>
      </c>
      <c r="D10" s="64">
        <v>24313</v>
      </c>
      <c r="E10" s="134"/>
      <c r="F10" s="124"/>
      <c r="G10" s="124">
        <v>3000</v>
      </c>
      <c r="H10" s="124"/>
      <c r="I10" s="54">
        <f t="shared" si="1"/>
        <v>147222</v>
      </c>
      <c r="J10" s="376">
        <v>97360</v>
      </c>
      <c r="K10" s="124">
        <v>25310</v>
      </c>
      <c r="L10" s="64">
        <v>35872</v>
      </c>
      <c r="M10" s="134">
        <v>1618</v>
      </c>
      <c r="N10" s="124"/>
      <c r="O10" s="124">
        <v>6248</v>
      </c>
      <c r="P10" s="124">
        <v>204</v>
      </c>
      <c r="Q10" s="298">
        <f t="shared" si="0"/>
        <v>166612</v>
      </c>
    </row>
    <row r="11" spans="1:17" ht="39.75" customHeight="1">
      <c r="A11" s="23" t="s">
        <v>150</v>
      </c>
      <c r="B11" s="124">
        <v>61042</v>
      </c>
      <c r="C11" s="124">
        <v>15972</v>
      </c>
      <c r="D11" s="124">
        <v>126506</v>
      </c>
      <c r="E11" s="134"/>
      <c r="F11" s="124"/>
      <c r="G11" s="124"/>
      <c r="H11" s="124"/>
      <c r="I11" s="54">
        <f t="shared" si="1"/>
        <v>203520</v>
      </c>
      <c r="J11" s="376">
        <v>67737</v>
      </c>
      <c r="K11" s="124">
        <v>17690</v>
      </c>
      <c r="L11" s="124">
        <v>135952</v>
      </c>
      <c r="M11" s="134">
        <v>2181</v>
      </c>
      <c r="N11" s="124"/>
      <c r="O11" s="124">
        <v>525</v>
      </c>
      <c r="P11" s="124"/>
      <c r="Q11" s="298">
        <f t="shared" si="0"/>
        <v>224085</v>
      </c>
    </row>
    <row r="12" spans="1:17" ht="39.75" customHeight="1">
      <c r="A12" s="40" t="s">
        <v>259</v>
      </c>
      <c r="B12" s="124">
        <v>300644</v>
      </c>
      <c r="C12" s="124">
        <v>78468</v>
      </c>
      <c r="D12" s="124">
        <v>139681</v>
      </c>
      <c r="E12" s="134"/>
      <c r="F12" s="124"/>
      <c r="G12" s="124"/>
      <c r="H12" s="124"/>
      <c r="I12" s="54">
        <f t="shared" si="1"/>
        <v>518793</v>
      </c>
      <c r="J12" s="376">
        <v>317001</v>
      </c>
      <c r="K12" s="124">
        <v>82685</v>
      </c>
      <c r="L12" s="124">
        <v>140518</v>
      </c>
      <c r="M12" s="134">
        <v>3727</v>
      </c>
      <c r="N12" s="124"/>
      <c r="O12" s="124">
        <v>1084</v>
      </c>
      <c r="P12" s="124">
        <v>2628</v>
      </c>
      <c r="Q12" s="298">
        <f t="shared" si="0"/>
        <v>547643</v>
      </c>
    </row>
    <row r="13" spans="1:17" ht="39.75" customHeight="1">
      <c r="A13" s="40" t="s">
        <v>189</v>
      </c>
      <c r="B13" s="124">
        <v>55463</v>
      </c>
      <c r="C13" s="124">
        <v>14518</v>
      </c>
      <c r="D13" s="124">
        <v>66037</v>
      </c>
      <c r="E13" s="134"/>
      <c r="F13" s="124"/>
      <c r="G13" s="124">
        <v>1000</v>
      </c>
      <c r="H13" s="124"/>
      <c r="I13" s="54">
        <f t="shared" si="1"/>
        <v>137018</v>
      </c>
      <c r="J13" s="376">
        <v>52944</v>
      </c>
      <c r="K13" s="124">
        <v>13921</v>
      </c>
      <c r="L13" s="124">
        <v>106745</v>
      </c>
      <c r="M13" s="134">
        <v>1300</v>
      </c>
      <c r="N13" s="124"/>
      <c r="O13" s="124">
        <v>315</v>
      </c>
      <c r="P13" s="124"/>
      <c r="Q13" s="298">
        <f t="shared" si="0"/>
        <v>175225</v>
      </c>
    </row>
    <row r="14" spans="1:17" ht="39.75" customHeight="1">
      <c r="A14" s="40" t="s">
        <v>200</v>
      </c>
      <c r="B14" s="124">
        <v>11803</v>
      </c>
      <c r="C14" s="124">
        <v>3075</v>
      </c>
      <c r="D14" s="124">
        <v>8988</v>
      </c>
      <c r="E14" s="134"/>
      <c r="F14" s="124"/>
      <c r="G14" s="124"/>
      <c r="H14" s="124"/>
      <c r="I14" s="54">
        <f t="shared" si="1"/>
        <v>23866</v>
      </c>
      <c r="J14" s="376">
        <v>12281</v>
      </c>
      <c r="K14" s="124">
        <v>3203</v>
      </c>
      <c r="L14" s="124">
        <v>10039</v>
      </c>
      <c r="M14" s="134">
        <v>606</v>
      </c>
      <c r="N14" s="124"/>
      <c r="O14" s="124">
        <v>675</v>
      </c>
      <c r="P14" s="124"/>
      <c r="Q14" s="298">
        <f t="shared" si="0"/>
        <v>26804</v>
      </c>
    </row>
    <row r="15" spans="1:17" ht="39.75" customHeight="1">
      <c r="A15" s="40" t="s">
        <v>151</v>
      </c>
      <c r="B15" s="124">
        <f>'Ök feladatok (2)'!B49</f>
        <v>359437</v>
      </c>
      <c r="C15" s="124">
        <f>'Ök feladatok (2)'!C49</f>
        <v>91467</v>
      </c>
      <c r="D15" s="124">
        <f>'Ök feladatok (2)'!D49+'Céltartalékok (2)'!B43</f>
        <v>118783</v>
      </c>
      <c r="E15" s="124">
        <f>'Ök feladatok (2)'!E49</f>
        <v>0</v>
      </c>
      <c r="F15" s="124">
        <f>'Szociálpolitikai kiadások (2)'!B17</f>
        <v>76000</v>
      </c>
      <c r="G15" s="124">
        <f>'Ök feladatok (2)'!G49+'Beruházások (2)'!B27</f>
        <v>9400</v>
      </c>
      <c r="H15" s="124">
        <v>0</v>
      </c>
      <c r="I15" s="54">
        <f t="shared" si="1"/>
        <v>655087</v>
      </c>
      <c r="J15" s="376">
        <f>'Ök feladatok (2)'!I49</f>
        <v>394276</v>
      </c>
      <c r="K15" s="124">
        <f>'Ök feladatok (2)'!J49</f>
        <v>100873</v>
      </c>
      <c r="L15" s="124">
        <f>'Ök feladatok (2)'!K49+'Céltartalékok (2)'!C43</f>
        <v>130754</v>
      </c>
      <c r="M15" s="124">
        <f>'Ök feladatok (2)'!L49</f>
        <v>1726</v>
      </c>
      <c r="N15" s="379">
        <f>'Szociálpolitikai kiadások (2)'!C17</f>
        <v>318503</v>
      </c>
      <c r="O15" s="124">
        <f>'Ök feladatok (2)'!N49+'Beruházások (2)'!C27-1000</f>
        <v>10323</v>
      </c>
      <c r="P15" s="124">
        <v>1000</v>
      </c>
      <c r="Q15" s="298">
        <f t="shared" si="0"/>
        <v>957455</v>
      </c>
    </row>
    <row r="16" spans="1:17" ht="39.75" customHeight="1">
      <c r="A16" s="40"/>
      <c r="B16" s="124"/>
      <c r="C16" s="124"/>
      <c r="D16" s="124"/>
      <c r="E16" s="134"/>
      <c r="F16" s="124"/>
      <c r="G16" s="124"/>
      <c r="H16" s="124"/>
      <c r="I16" s="54"/>
      <c r="J16" s="376"/>
      <c r="K16" s="124"/>
      <c r="L16" s="124"/>
      <c r="M16" s="134"/>
      <c r="N16" s="124"/>
      <c r="O16" s="124"/>
      <c r="P16" s="124"/>
      <c r="Q16" s="298"/>
    </row>
    <row r="17" spans="1:17" s="73" customFormat="1" ht="30.75" customHeight="1" thickBot="1">
      <c r="A17" s="286" t="s">
        <v>140</v>
      </c>
      <c r="B17" s="266">
        <f aca="true" t="shared" si="2" ref="B17:H17">SUM(B3:B16)</f>
        <v>1922991</v>
      </c>
      <c r="C17" s="266">
        <f t="shared" si="2"/>
        <v>497847</v>
      </c>
      <c r="D17" s="266">
        <f t="shared" si="2"/>
        <v>964736</v>
      </c>
      <c r="E17" s="266">
        <f t="shared" si="2"/>
        <v>0</v>
      </c>
      <c r="F17" s="266">
        <f t="shared" si="2"/>
        <v>76692</v>
      </c>
      <c r="G17" s="266">
        <f t="shared" si="2"/>
        <v>13400</v>
      </c>
      <c r="H17" s="266">
        <f t="shared" si="2"/>
        <v>0</v>
      </c>
      <c r="I17" s="287">
        <f>SUM(B17:H17)</f>
        <v>3475666</v>
      </c>
      <c r="J17" s="377">
        <f aca="true" t="shared" si="3" ref="J17:Q17">SUM(J3:J16)</f>
        <v>1993159</v>
      </c>
      <c r="K17" s="266">
        <f t="shared" si="3"/>
        <v>520250</v>
      </c>
      <c r="L17" s="266">
        <f t="shared" si="3"/>
        <v>1143220</v>
      </c>
      <c r="M17" s="266">
        <f t="shared" si="3"/>
        <v>26375</v>
      </c>
      <c r="N17" s="266">
        <f t="shared" si="3"/>
        <v>321290</v>
      </c>
      <c r="O17" s="266">
        <f t="shared" si="3"/>
        <v>50572</v>
      </c>
      <c r="P17" s="266">
        <f t="shared" si="3"/>
        <v>22812</v>
      </c>
      <c r="Q17" s="378">
        <f t="shared" si="3"/>
        <v>4077678</v>
      </c>
    </row>
    <row r="18" ht="13.5" thickTop="1"/>
  </sheetData>
  <sheetProtection/>
  <mergeCells count="2">
    <mergeCell ref="B1:I1"/>
    <mergeCell ref="J1:Q1"/>
  </mergeCells>
  <printOptions horizontalCentered="1"/>
  <pageMargins left="0.38" right="0.34" top="1.35" bottom="1.14" header="0.5118110236220472" footer="0.7"/>
  <pageSetup fitToHeight="1" fitToWidth="1" horizontalDpi="240" verticalDpi="240" orientation="landscape" paperSize="9" scale="63" r:id="rId1"/>
  <headerFooter alignWithMargins="0">
    <oddHeader>&amp;C&amp;"Times New Roman CE,Félkövér"&amp;16Az önállóan gazdálkodó intézmények kiadásai&amp;"Times New Roman CE,Normál"&amp;18
&amp;11/ ezer Ft /&amp;R&amp;"MS Sans Serif,Félkövér"&amp;12 8/a.sz.melléklet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Költségvetes 1995</dc:title>
  <dc:subject>1995 évi költségvetés tervezése</dc:subject>
  <dc:creator>Hajdúszoboszló Városi Önkormán</dc:creator>
  <cp:keywords/>
  <dc:description/>
  <cp:lastModifiedBy>Balla Laszlone</cp:lastModifiedBy>
  <cp:lastPrinted>2013-02-18T15:01:32Z</cp:lastPrinted>
  <dcterms:created xsi:type="dcterms:W3CDTF">1998-01-22T07:40:57Z</dcterms:created>
  <dcterms:modified xsi:type="dcterms:W3CDTF">2013-03-01T08:05:27Z</dcterms:modified>
  <cp:category/>
  <cp:version/>
  <cp:contentType/>
  <cp:contentStatus/>
</cp:coreProperties>
</file>